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Override PartName="/xl/sharedStrings.xml" ContentType="application/vnd.openxmlformats-officedocument.spreadsheetml.sharedStrings+xml"/>
</Types>
</file>

<file path=_rels/.rels><?xml version="1.0" encoding="UTF-8"?>
<Relationships xmlns="http://schemas.openxmlformats.org/package/2006/relationships"><Relationship Id="rId1" Target="xl/workbook.xml" Type="http://schemas.openxmlformats.org/officeDocument/2006/relationships/officeDocument"></Relationship><Relationship Id="rId2" Target="docProps/core.xml" Type="http://schemas.openxmlformats.org/package/2006/relationships/metadata/core-properties"></Relationship><Relationship Id="rId3" Target="docProps/app.xml" Type="http://schemas.openxmlformats.org/officeDocument/2006/relationships/extended-properties"></Relationship></Relationships>
</file>

<file path=xl/workbook.xml><?xml version="1.0" encoding="utf-8"?>
<workbook xmlns="http://schemas.openxmlformats.org/spreadsheetml/2006/main" xmlns:r="http://schemas.openxmlformats.org/officeDocument/2006/relationships" xmlns:mc="http://schemas.openxmlformats.org/markup-compatibility/2006">
  <workbookPr/>
  <workbookProtection/>
  <bookViews>
    <workbookView visibility="visible" showHorizontalScroll="true" showVerticalScroll="true" showSheetTabs="true" tabRatio="600" autoFilterDateGrouping="true"/>
  </bookViews>
  <sheets>
    <sheet name="Executive Overview" sheetId="1" r:id="rId1" state="visible"/>
    <sheet name="Regional Markets" sheetId="2" r:id="rId2" state="visible"/>
    <sheet name="Product Catalog" sheetId="3" r:id="rId3" state="visible"/>
    <sheet name="International Orders" sheetId="4" r:id="rId4" state="visible"/>
    <sheet name="Inventory &amp; Replenishment" sheetId="5" r:id="rId5" state="visible"/>
    <sheet name="Launch Plan" sheetId="6" r:id="rId6" state="visible"/>
  </sheets>
  <definedNames>
    <definedName localSheetId="0" name="_xlnm.Print_Area">'Executive Overview'!$A$1:$P$56</definedName>
    <definedName localSheetId="1" name="_xlnm.Print_Area">'Regional Markets'!$A$1:$O$48</definedName>
    <definedName hidden="true" localSheetId="2" name="_xlnm._FilterDatabase">'Product Catalog'!$B$6:$O$22</definedName>
    <definedName localSheetId="2" name="_xlnm.Print_Titles">'Product Catalog'!$6:$6</definedName>
    <definedName localSheetId="2" name="_xlnm.Print_Area">'Product Catalog'!$A$1:$P$24</definedName>
    <definedName hidden="true" localSheetId="3" name="_xlnm._FilterDatabase">'International Orders'!$B$7:$R$107</definedName>
    <definedName localSheetId="3" name="_xlnm.Print_Titles">'International Orders'!$7:$7</definedName>
    <definedName localSheetId="3" name="_xlnm.Print_Area">'International Orders'!$A$1:$S$107</definedName>
    <definedName localSheetId="4" name="_xlnm.Print_Area">'Inventory &amp; Replenishment'!$A$1:$U$49</definedName>
    <definedName localSheetId="5" name="_xlnm.Print_Area">'Launch Plan'!$A$1:$AL$51</definedName>
  </definedNames>
  <calcPr calcId="124519" fullCalcOnLoad="true"/>
</workbook>
</file>

<file path=xl/sharedStrings.xml><?xml version="1.0" encoding="utf-8"?>
<sst xmlns="http://schemas.openxmlformats.org/spreadsheetml/2006/main" count="426" uniqueCount="426">
  <si>
    <t>FY2026 · 1月 – 9月</t>
  </si>
  <si>
    <t>グローバル営業・オペレーションレポート</t>
  </si>
  <si>
    <t>8市場における卸売およびパートナーチャネル · 特に記載のない限り、すべての金額はUSD</t>
  </si>
  <si>
    <t>レポート日：2026年10月19日</t>
  </si>
  <si>
    <t>純売上高</t>
  </si>
  <si>
    <t>受注件数</t>
  </si>
  <si>
    <t>平均注文額</t>
  </si>
  <si>
    <t>粗利益率</t>
  </si>
  <si>
    <t>未処理受注残</t>
  </si>
  <si>
    <t>年初来目標比</t>
  </si>
  <si>
    <t>キャンセル済み</t>
  </si>
  <si>
    <t>平均割引率</t>
  </si>
  <si>
    <t>売上総利益</t>
  </si>
  <si>
    <t>確保済みユニット数</t>
  </si>
  <si>
    <t>月次実績</t>
  </si>
  <si>
    <t>カテゴリ別純売上高</t>
  </si>
  <si>
    <t>月</t>
  </si>
  <si>
    <t>純売上高（USD）</t>
  </si>
  <si>
    <t>目標（USD）</t>
  </si>
  <si>
    <t>目標との差異</t>
  </si>
  <si>
    <t>ユニット数</t>
  </si>
  <si>
    <t>カテゴリ</t>
  </si>
  <si>
    <t>構成比</t>
  </si>
  <si>
    <t>合計</t>
  </si>
  <si>
    <t>最大市場</t>
  </si>
  <si>
    <t>年初来</t>
  </si>
  <si>
    <t>FY2025比で最も高い成長率</t>
  </si>
  <si>
    <t>営業ハイライト</t>
  </si>
  <si>
    <t>オペレーション概況</t>
  </si>
  <si>
    <t>• 1月から9月までの純売上高は$2.26 millionに達し、年初来目標を1.2%上回りました。ブティックホテル案件の契約受注に支えられ、8月が最も好調な月となりました。
• 米国が引き続き最大市場です。日本は、一部のライフスタイルショップで再注文の頻度が増えたことで、前年比31%の成長を記録しました。同市場の平均注文額は、依然としてグループ平均を下回っています。
• 売上高の構成比では、テキスタイルが最大となりました。契約顧客およびホスピタリティ業界の顧客には、数量確約と引き換えに最も大幅な割引（12–20%）が適用されました。
• 百貨店で予定されていた2件の販促が第4四半期に延期されたため、英国は前年を4%下回りました。3件の注文がキャンセルされ、すべての合計から除外されています。</t>
  </si>
  <si>
    <t>再発注点以下のSKU</t>
  </si>
  <si>
    <t>推奨補充額</t>
  </si>
  <si>
    <t>現在保留中の注文</t>
  </si>
  <si>
    <t>プロジェクト・タイドウォーターの進捗</t>
  </si>
  <si>
    <t>第4四半期の優先事項</t>
  </si>
  <si>
    <t>1. 対象となったSKUの補充発注を、11月の貨物受付締切前に発行してください。
2. 通関書類と与信審査の問題を解決し、保留中の注文を処理してください。
3. プロジェクト・タイドウォーターの照明器具認証を予定どおり進めてください。日本のPSE認証取得はクリティカルパス上にあります。</t>
  </si>
  <si>
    <t>Linden &amp; Loomは架空の企業です。このブックに記載されたすべての名称、数値、為替レートは、計画用の例示データです。売上高にはキャンセル済みの注文は含まれておらず、「地域別市場」シートに記載のFY2026計画レートで換算されています。</t>
  </si>
  <si>
    <t>照合チェック：このシート、Regional Markets、カテゴリー別の売上合計の差（ゼロになるはず）</t>
  </si>
  <si>
    <t>LINDEN &amp; LOOM · グローバル販売・オペレーションレポート FY2026</t>
  </si>
  <si>
    <t>地域市場分析</t>
  </si>
  <si>
    <t>2026年1月～9月の市場別純売上高。FY2026の固定計画為替レートで換算し、FY2025の同期間と比較しています。市場プロファイルでは、地域マネージャーが四半期ごとに報告するチャネル構成、配送要件、見通しをまとめています。</t>
  </si>
  <si>
    <t>市場別実績と計画為替レート</t>
  </si>
  <si>
    <t>市場</t>
  </si>
  <si>
    <t>地域</t>
  </si>
  <si>
    <t>通貨</t>
  </si>
  <si>
    <t>計画為替レート（1 USDあたり）</t>
  </si>
  <si>
    <t>純売上高（現地通貨）</t>
  </si>
  <si>
    <t>総額に占める割合</t>
  </si>
  <si>
    <t>FY2025 1月～9月の売上高（USD）</t>
  </si>
  <si>
    <t>前年同期比成長率</t>
  </si>
  <si>
    <t>平均注文額（USD）</t>
  </si>
  <si>
    <t>平均値引率</t>
  </si>
  <si>
    <t>米国</t>
  </si>
  <si>
    <t>北米</t>
  </si>
  <si>
    <t>カナダ</t>
  </si>
  <si>
    <t>英国</t>
  </si>
  <si>
    <t>ヨーロッパ</t>
  </si>
  <si>
    <t>ドイツ</t>
  </si>
  <si>
    <t>フランス</t>
  </si>
  <si>
    <t>スウェーデン</t>
  </si>
  <si>
    <t>日本</t>
  </si>
  <si>
    <t>アジア太平洋</t>
  </si>
  <si>
    <t>オーストラリア</t>
  </si>
  <si>
    <t>複数通貨</t>
  </si>
  <si>
    <t>計画為替レート（青字）は、FY2026予算向けに設定された社内の固定前提値で、1 USDあたりの現地通貨額で表されています。あくまで参考値であり、リアルタイムの市場レートではありません。レートを変更すると、ブック内の換算価格と合計がすべて更新されます。</t>
  </si>
  <si>
    <t>市場別売上高</t>
  </si>
  <si>
    <t>数値の計算方法</t>
  </si>
  <si>
    <t>売上高の基準
純売上高は、注文額から取引値引きを差し引いた金額です。キャンセルされた注文は除外されます。保留中の注文は、キャンセルされるまで合計に含まれます。
通貨換算
単価はUSD建ての定価に各市場の計画レートを乗じ、日本では円単位、その他では小数第2位までに丸めています。現地通貨額は同じレートでUSDに再換算するため、為替変動によって比較がゆがむことはありません。
平均値引率
注文額で加重：1 − 純売上高 ÷ 値引き前の総売上高。
前年度
FY2025の数値は、同条件で比較できるようFY2026の計画レートで再表示しています。</t>
  </si>
  <si>
    <t>市場プロファイル</t>
  </si>
  <si>
    <t>チャネル構成</t>
  </si>
  <si>
    <t>配送およびコンプライアンス要件</t>
  </si>
  <si>
    <t>見通しと補足</t>
  </si>
  <si>
    <t>米国
北米 · USD</t>
  </si>
  <si>
    <t>独立系ホーム用品店と2つの地域チェーンが、販売量の大半を占めています。オンラインマーケットプレイスのパートナーには、直送対応と毎日の在庫データ連携が求められます。</t>
  </si>
  <si>
    <t>ニューアーク配送センターから出荷します。小売業者はEDI 856事前出荷通知とGS1-128カートンラベルを求めています。すべてのランプにULまたはETL認証が必要です。</t>
  </si>
  <si>
    <t>家具市場として最も好調です。シカゴとオースティンのブティックホテル案件を通じて、コントラクト分野が成長しています。</t>
  </si>
  <si>
    <t>カナダ
北米 · CAD</t>
  </si>
  <si>
    <t>トロント、モントリオール、バンクーバーの、デザイン重視の少数の小売業者に集中しています。</t>
  </si>
  <si>
    <t>小売用パッケージには、英語・フランス語の併記ラベルが義務付けられています。注文はDDP条件で出荷され、関税は着地価格に含まれます。</t>
  </si>
  <si>
    <t>11月から2月にかけて冬季の運送料割増が適用されます。第4四半期の補充は2週間前倒しで計画してください。</t>
  </si>
  <si>
    <t>英国
ヨーロッパ · GBP</t>
  </si>
  <si>
    <t>百貨店と高級独立系小売店が中心です。ギフト需要の高いシーズンにより、第4四半期のテキスタイル販売が伸びます。</t>
  </si>
  <si>
    <t>照明器具にはUKCAマーキングが必要です。輸入申告は英国グローバル関税に基づいて提出します。通関にさらに2日かかるものとして見込んでください。</t>
  </si>
  <si>
    <t>テキスタイルは価格に敏感です。12%を超える値引きには、コマーシャルディレクターの承認が必要です。</t>
  </si>
  <si>
    <t>ドイツ
ヨーロッパ · EUR</t>
  </si>
  <si>
    <t>ヨーロッパ最大の市場で、家具チェーン、インテリアコンセプトストア、成長中のオンラインチャネルが混在しています。</t>
  </si>
  <si>
    <t>ロッテルダムから出荷します。包装材はドイツ包装法（VerpackG）に基づきLUCIDに登録する必要があります。家具チェーンでは納品予約が標準です。</t>
  </si>
  <si>
    <t>顧客は、素材構成やお手入れ方法を含む、ドイツ語での完全な製品情報を求めています。</t>
  </si>
  <si>
    <t>フランス
ヨーロッパ · EUR</t>
  </si>
  <si>
    <t>パリとリヨンのコンセプトストアに加え、全国展開する百貨店グループが1社あります。</t>
  </si>
  <si>
    <t>フランス語のラベルとTrimanリサイクルロゴが必要です。多くの店舗では11:00前の納品のみ受け付けています。</t>
  </si>
  <si>
    <t>陶磁器とテーブルリネンは平均を上回る実績ですが、家具の売上構成比は依然として小さいです。</t>
  </si>
  <si>
    <t>スウェーデン
ヨーロッパ · SEK</t>
  </si>
  <si>
    <t>単一の販売代理店が北欧地域をカバーし、40店以上に商品を供給しています。</t>
  </si>
  <si>
    <t>ロッテルダムからの月次陸上輸送をまとめて実施します。スウェーデン語のケアラベルは販売代理店が貼付します。</t>
  </si>
  <si>
    <t>サステナビリティ関連書類には高い水準が求められます。すべての注文にFSCおよびOEKO-TEXの証明書を添付する必要があります。</t>
  </si>
  <si>
    <t>日本
アジア太平洋 · JPY</t>
  </si>
  <si>
    <t>厳選されたライフスタイルショップとキュレーション型のECプラットフォームが中心です。注文規模は小さいものの、顧客は頻繁に再注文します。</t>
  </si>
  <si>
    <t>すべての電気製品にPSE認証が必要です。すべてのパッケージに日本語のケアカードを同梱し、パッケージの外観に損傷がある場合は受け入れられません。</t>
  </si>
  <si>
    <t>最も急成長している市場です。プロジェクト・タイドウォーターには、2027年3月に予定されている日本向け専用ECの立ち上げが含まれます。</t>
  </si>
  <si>
    <t>オーストラリア
アジア太平洋 · AUD</t>
  </si>
  <si>
    <t>沿岸地域のライフスタイル小売業者と、成長中のホスピタリティ分野が中心です。</t>
  </si>
  <si>
    <t>ロッテルダムからの海上輸送は、戸口から戸口まで38–45日かかります。木製品にはバイオセキュリティ申告書が必要で、梱包はISPM 15に準拠していなければなりません。</t>
  </si>
  <si>
    <t>季節が逆になります。夏物コレクションは10月初旬までに到着させる必要があります。</t>
  </si>
  <si>
    <t>製品カタログ</t>
  </si>
  <si>
    <t>販売中の卸売SKU 16品目のマスターデータです。希望小売価格はUSD建てで、International Ordersシート上でFY2026の計画為替レートにより現地通貨に換算されます。商品説明とお手入れ方法は、パッケージ、商品一覧表、小売業者向けデータフィードに使用する、承認済みの顧客向け文面です。</t>
  </si>
  <si>
    <t>商品名</t>
  </si>
  <si>
    <t>コレクション</t>
  </si>
  <si>
    <t>素材</t>
  </si>
  <si>
    <t>寸法</t>
  </si>
  <si>
    <t>重量（kg）</t>
  </si>
  <si>
    <t>希望小売価格（USD）</t>
  </si>
  <si>
    <t>単価原価（USD）</t>
  </si>
  <si>
    <t>ライフサイクル</t>
  </si>
  <si>
    <t>商品説明</t>
  </si>
  <si>
    <t>お手入れ方法</t>
  </si>
  <si>
    <t>認証</t>
  </si>
  <si>
    <t>ハルデン リネンペンダントランプ</t>
  </si>
  <si>
    <t>照明</t>
  </si>
  <si>
    <t>ハルデン</t>
  </si>
  <si>
    <t>ベルギー産リネンシェード、粉体塗装スチール</t>
  </si>
  <si>
    <t>定番</t>
  </si>
  <si>
    <t>手縫いのベルギー産リネンシェードが光を均一に拡散し、ダイニングテーブルやキッチンアイランドをやわらかく照らすドラム型ペンダントライトです。長さ1.5 mの調節可能なファブリックコードと、同色のシーリングカバーが付属します。</t>
  </si>
  <si>
    <t>シェードは毎週、柔らかいブラシまたは掃除機の布張り用ノズルでほこりを払ってください。リネンに水や溶剤を使用しないでください。</t>
  </si>
  <si>
    <t>CE、UKCA</t>
  </si>
  <si>
    <t>ソラ セラミックテーブルランプ</t>
  </si>
  <si>
    <t>ソラ</t>
  </si>
  <si>
    <t>釉薬仕上げの炻器製ベース、コットンシェード</t>
  </si>
  <si>
    <t>マットなサンドカラーの釉薬で仕上げた、ろくろ成形の炻器製ベースです。一つひとつ色合いがわずかに異なり、それが個性となっています。</t>
  </si>
  <si>
    <t>ベースは乾いた布で拭いてください。お手入れの前にスイッチを切り、電球が冷めるまでお待ちください。</t>
  </si>
  <si>
    <t>CE、UKCA、PSE</t>
  </si>
  <si>
    <t>ヴィーク ブラスフロアランプ</t>
  </si>
  <si>
    <t>ヴィーク</t>
  </si>
  <si>
    <t>ブラッシュ仕上げの真鍮、無垢のオーク材、大理石の台座</t>
  </si>
  <si>
    <t>新商品</t>
  </si>
  <si>
    <t>300度回転する調節可能な真鍮製アーム、無垢のオーク材の支柱、安定感のある重量付きカララ大理石ベースを備えた、スリムな読書用ランプです。調光スイッチはコード上にあり、ソファやアームチェアに座ったまま簡単に操作できます。</t>
  </si>
  <si>
    <t>真鍮は乾いたマイクロファイバークロスで磨いてください。時間とともに温かみのある古色が生まれます。大理石には研磨剤入りのクリーナーを使用せず、液体をこぼした場合はすぐに拭き取ってください。</t>
  </si>
  <si>
    <t>CE、UKCA、UL</t>
  </si>
  <si>
    <t>アーデン ストーンウォッシュ加工リネン掛け布団カバーセット</t>
  </si>
  <si>
    <t>テキスタイル</t>
  </si>
  <si>
    <t>アーデン</t>
  </si>
  <si>
    <t>ヨーロッパ産亜麻100%</t>
  </si>
  <si>
    <t>クイーン：掛け布団カバー 220 × 230 cm、枕カバー2枚 50 × 75 cm</t>
  </si>
  <si>
    <t>製品染めとストーンウォッシュ加工により、初めて使う夜から、くつろいだ風合いに仕上げています。セットには、隠しボタン留めの掛け布団カバー1枚と、封筒式の合わせ枕カバー2枚が含まれます。</t>
  </si>
  <si>
    <t>同系色のものと一緒に40 °Cで洗濯機洗いしてください。低温でタンブル乾燥するか、つり干ししてください。しわを抑えるため、乾燥後はすぐに取り出してください。漂白剤は使用しないでください。</t>
  </si>
  <si>
    <t>OEKO-TEX Standard 100、European Flax</t>
  </si>
  <si>
    <t>フェル メリノウールスロー</t>
  </si>
  <si>
    <t>フェル</t>
  </si>
  <si>
    <t>極細メリノウール100%</t>
  </si>
  <si>
    <t>ランカシャーの小さな工場で極細メリノ糸を使って織り上げ、手結びのフリンジで仕上げています。</t>
  </si>
  <si>
    <t>ドライクリーニングをおすすめします。使用の合間に屋外で風を通すと、さわやかさが戻ります。夏の間はシダーウッドブロックと一緒にたたんで保管してください。</t>
  </si>
  <si>
    <t>Woolmark、RWS</t>
  </si>
  <si>
    <t>マーロウ 手織りクッションカバー</t>
  </si>
  <si>
    <t>マーロウ</t>
  </si>
  <si>
    <t>コットンとジュートの混紡</t>
  </si>
  <si>
    <t>ラジャスタン州の職人協同組合による手織りです。ファスナーは隠し仕様。中材は別売りです。</t>
  </si>
  <si>
    <t>冷水で手洗いし、平干ししてください。絞らないでください。</t>
  </si>
  <si>
    <t>フェアトレード、GOTS（コットン）</t>
  </si>
  <si>
    <t>ケサ オーガニックコットンタオルセット</t>
  </si>
  <si>
    <t>ケサ</t>
  </si>
  <si>
    <t>600 gsm オーガニックコットンパイル</t>
  </si>
  <si>
    <t>バスタオル2枚 70 × 140 cm、ハンドタオル2枚 50 × 90 cm</t>
  </si>
  <si>
    <t>織り柄のヘリンボーンボーダーをあしらった、厚手で乾きの早いパイル地です。セットにはバスタオル2枚とハンドタオル2枚が含まれ、プラスチックを使わずに包装されています。</t>
  </si>
  <si>
    <t>初めて使用する前に洗ってください。60 °Cで洗濯機洗いし、吸水性が低下するため柔軟剤は使用しないでください。</t>
  </si>
  <si>
    <t>GOTS、OEKO-TEX Standard 100</t>
  </si>
  <si>
    <t>トーヴェ 無垢オーク材ダイニングチェア</t>
  </si>
  <si>
    <t>家具</t>
  </si>
  <si>
    <t>トーヴェ</t>
  </si>
  <si>
    <t>FSC®認証ホワイトオーク材、デンマーク産ペーパーコード</t>
  </si>
  <si>
    <t>W 48 × D 52 × H 78 cm、座面高 45 cm</t>
  </si>
  <si>
    <t>蒸気曲げ加工の背もたれと、手編みのデンマーク産ペーパーコード座面を備え、マットなナチュラルオイル仕上げを施しています。完成品でお届けします。業務用としてEN 16139に基づく試験を実施しており、レストランやホテルのダイニングルームにも適しています。</t>
  </si>
  <si>
    <t>湿らせた布で拭き、すぐに乾拭きしてください。Linden &amp; Loomのケアキットを使い、6–12か月ごとに木部へオイルを塗り直してください。暖房器具や床暖房の吹き出し口の近くに置かないでください。</t>
  </si>
  <si>
    <t>FSC®、EN 16139</t>
  </si>
  <si>
    <t>ブレンナ 伸長式オーク材ダイニングテーブル</t>
  </si>
  <si>
    <t>ブレンナ</t>
  </si>
  <si>
    <t>FSC®認証ホワイトオーク材、スチール製機構</t>
  </si>
  <si>
    <t>6～10人掛けです。2枚のバタフライ式天板はテーブル天板の内部に収納され、持ち上げることなく1分以内に展開できます。無垢オーク材の天板には、70 °Cまでの熱による跡に耐えるハードワックスオイル仕上げを施しています。2つの箱に分けてフラットパックで発送します。2人で約45分で組み立てられます。</t>
  </si>
  <si>
    <t>コースターとランチョンマットを使用してください。薄めた中性洗剤で清掃し、乾拭きした後、年に1回表面を再塗装してください。</t>
  </si>
  <si>
    <t>オットー ラタンラウンジチェア</t>
  </si>
  <si>
    <t>オットー</t>
  </si>
  <si>
    <t>天然ラタン、リネン混クッション</t>
  </si>
  <si>
    <t>手巻き仕上げのラタンフレームと、厚みのある取り外し可能な座面クッションを備えた、座面の低いラウンジチェアです。</t>
  </si>
  <si>
    <t>屋内専用です。ブラシノズルを付けた掃除機でラタンを掃除し、クッションカバーの汚れは部分洗いしてください。</t>
  </si>
  <si>
    <t>屋内専用</t>
  </si>
  <si>
    <t>リス ウォールナットサイドテーブル</t>
  </si>
  <si>
    <t>リス</t>
  </si>
  <si>
    <t>アメリカ産ブラックウォールナット無垢材</t>
  </si>
  <si>
    <t>挽物加工の支柱と、カップや本が滑り落ちにくいわずかに立ち上がった縁を備えた、コンパクトな丸型サイドテーブルです。</t>
  </si>
  <si>
    <t>定期的にほこりを払ってください。ウォールナット材は直射日光に長時間さらされると徐々に色が薄くなるため、避けてください。</t>
  </si>
  <si>
    <t>ホリス 炻器製ディナーセット</t>
  </si>
  <si>
    <t>キッチン＆ダイニング</t>
  </si>
  <si>
    <t>ホリス</t>
  </si>
  <si>
    <t>リアクティブ釉薬仕上げの炻器</t>
  </si>
  <si>
    <t>16点：プレート Ø 27 cm × 4、サイドプレート Ø 21 cm × 4、ボウル Ø 16 cm × 4、マグ 350 ml × 4</t>
  </si>
  <si>
    <t>リアクティブ釉薬により、一つひとつに独特の斑点模様が生まれます。電子レンジ・食器洗い機に対応し、200 °Cまでオーブンで使用できます。</t>
  </si>
  <si>
    <t>食器洗い機に対応しています。冷凍庫から出した皿を熱いオーブンに直接入れるなど、急激な温度変化は避けてください。</t>
  </si>
  <si>
    <t>LFGB、FDA食品接触基準適合</t>
  </si>
  <si>
    <t>アスカ ホーロー鋳鉄製キャセロール</t>
  </si>
  <si>
    <t>アスカ</t>
  </si>
  <si>
    <t>ホーロー仕上げの鋳鉄</t>
  </si>
  <si>
    <t>4.5 L、Ø 26 cm</t>
  </si>
  <si>
    <t>じっくり煮込む料理やパン、シチューに適した、均一な熱伝導を実現します。IHを含むすべての熱源に対応し、250 °Cまでオーブンで使用できます。重厚でぴったり閉まる蓋の裏側には、蒸気を循環させる突起が付いています。</t>
  </si>
  <si>
    <t>洗う前に冷ましてください。手洗いするとホーローが長持ちします。木製またはシリコン製の調理器具を使用してください。</t>
  </si>
  <si>
    <t>ルーン アカシア製サービングボード</t>
  </si>
  <si>
    <t>ルーン</t>
  </si>
  <si>
    <t>アカシア無垢材</t>
  </si>
  <si>
    <t>パン、チーズ、シャルキュトリーを盛り付けるのに適した、持ち手を彫り込んだゆったりサイズのボードです。</t>
  </si>
  <si>
    <t>手洗いのみ。食品に使用できるミネラルオイルを毎月塗ってください。</t>
  </si>
  <si>
    <t>ルミ リサイクルガラス製フラワーベース</t>
  </si>
  <si>
    <t>インテリア＆ラグ</t>
  </si>
  <si>
    <t>ルミ</t>
  </si>
  <si>
    <t>リサイクルガラス100%</t>
  </si>
  <si>
    <t>季節限定</t>
  </si>
  <si>
    <t>リサイクルガラスを吹きガラスで成形し、ほのかな緑色と光を受けてきらめく小さな気泡を残しています。</t>
  </si>
  <si>
    <t>ぬるま湯に石けんを溶かして手洗いしてください。</t>
  </si>
  <si>
    <t>ターン ウールエリアラグ</t>
  </si>
  <si>
    <t>ターン</t>
  </si>
  <si>
    <t>ニュージーランド産ウール、コットン経糸</t>
  </si>
  <si>
    <t>160 × 230 cm、パイル高 12 mm</t>
  </si>
  <si>
    <t>控えめなトーンのストライプをあしらった、ハンドタフテッドラグです。密度の高いウールパイルは天然の防汚性を備え、使うほどに柔らかくなります。使い始めに多少毛が抜けるのは正常で、最初の数週間を過ぎると落ち着きます。</t>
  </si>
  <si>
    <t>週に一度、回転ブラシを使わずに掃除機をかけてください。液体をこぼした場合はすぐに押さえて吸い取り、こすらないでください。12–18か月ごとの専門業者によるクリーニングをおすすめします。</t>
  </si>
  <si>
    <t>粗利益率 = 1 − unit cost ÷ list price（仕入先割引前）。粗利益率が55%を下回る場合は、価格見直しの対象として強調表示されます。寸法は公称値です。手作り品は±1 cmの誤差が生じる場合があります。</t>
  </si>
  <si>
    <t>海外注文</t>
  </si>
  <si>
    <t>2026年1月1日から9月30日までに受注した卸売およびパートナー注文。商品、通貨、現地価格は「Product Catalog」および「Regional Markets」シートを参照します。キャンセル済みの注文は参照用に記録として残りますが、売上合計には含まれません。</t>
  </si>
  <si>
    <t>表示中の注文</t>
  </si>
  <si>
    <t>キャンセル分を除く表示中の売上</t>
  </si>
  <si>
    <t>ステータス一覧</t>
  </si>
  <si>
    <t>配達済み</t>
  </si>
  <si>
    <t>輸送中</t>
  </si>
  <si>
    <t>処理中</t>
  </si>
  <si>
    <t>保留</t>
  </si>
  <si>
    <t>注文ID</t>
  </si>
  <si>
    <t>注文日</t>
  </si>
  <si>
    <t>顧客</t>
  </si>
  <si>
    <t>販売チャネル</t>
  </si>
  <si>
    <t>商品</t>
  </si>
  <si>
    <t>数量</t>
  </si>
  <si>
    <t>単価（現地通貨）</t>
  </si>
  <si>
    <t>割引</t>
  </si>
  <si>
    <t>正味金額（現地通貨）</t>
  </si>
  <si>
    <t>正味金額（USD）</t>
  </si>
  <si>
    <t>配送状況</t>
  </si>
  <si>
    <t>出荷期限</t>
  </si>
  <si>
    <t>顧客の要件</t>
  </si>
  <si>
    <t>Oakline ホスピタリティ・グループ</t>
  </si>
  <si>
    <t>法人契約／ホスピタリティ</t>
  </si>
  <si>
    <t>建物に荷捌き場がないため、昇降ゲート付きトラックで現場へ納品してください。</t>
  </si>
  <si>
    <t>百貨店</t>
  </si>
  <si>
    <t>全数量が揃ってから一括出荷してください。一部数量のみの出荷はしないでください。</t>
  </si>
  <si>
    <t>電子商取引</t>
  </si>
  <si>
    <t>大阪のフルフィルメントセンターへ納品してください。時間枠の予約が必要です。</t>
  </si>
  <si>
    <t>エンドユーザーへ直送してください。荷物に価格情報や請求書を同梱しないでください。</t>
  </si>
  <si>
    <t>小包配送に対応した梱包にしてください。各商品は1.2 mの落下試験に合格する必要があります。</t>
  </si>
  <si>
    <t>小売パートナー</t>
  </si>
  <si>
    <t>木製品には、商業送り状とともにバイオセキュリティ申告書を添付してください。</t>
  </si>
  <si>
    <t>分納可。出荷ごとに請求書を発行してください。</t>
  </si>
  <si>
    <t>シカゴの配送センターへ納品してください。少なくとも48時間前までにドックの予約をしてください。</t>
  </si>
  <si>
    <t>出荷前にEDI 856事前出荷通知を送信してください。</t>
  </si>
  <si>
    <t>注文から2営業日以内に出荷してください。日次の在庫データフィードが必要です。</t>
  </si>
  <si>
    <t>各梱包に日本語の取扱カードを同梱してください。梱包にはへこみや擦り傷がない状態で納品してください。</t>
  </si>
  <si>
    <t>販売代理店</t>
  </si>
  <si>
    <t>月次で混載の陸上輸送を行ってください。出荷書類にFSC認証書を添付してください。</t>
  </si>
  <si>
    <t>交換用として、クッションカバーとタオルを2%多めに同梱してください。</t>
  </si>
  <si>
    <t>リゾート案件：現場責任者の指示に従い、2段階に分けて納品してください。</t>
  </si>
  <si>
    <t>DDP条件でトロントへ出荷してください。到着の72時間前までに通関業者へ書類をメールで送付してください。</t>
  </si>
  <si>
    <t>GS1-128カートンラベルが必要です。1つのパレットに複数のSKUを混載しないでください。</t>
  </si>
  <si>
    <t>到着時に小売業者による品質検査を実施します（5%の抜き取り検査）。</t>
  </si>
  <si>
    <t>可能な場合は、Northbay向けの他の未出荷注文とまとめて出荷してください。</t>
  </si>
  <si>
    <t>納品予約が必要です。パレットの最大高さは1.8 mです。</t>
  </si>
  <si>
    <t>納品は11:00より前のみ受け付けます。</t>
  </si>
  <si>
    <t>商品の20%をギフト包装してください。包装資材は顧客が提供します。</t>
  </si>
  <si>
    <t>ホテルの内装工事：出荷期限日に設定された設置期間の開始前に、すべての商品が到着する必要があります。</t>
  </si>
  <si>
    <t>ミルトン・キーンズの配送センターへ納品してください。到着の24時間前までにASNが必要です。</t>
  </si>
  <si>
    <t>月曜日から木曜日まで、予約制でのみ荷受けします。</t>
  </si>
  <si>
    <t>すべての小売用箱に英語・フランス語の併記ラベルが必要です。</t>
  </si>
  <si>
    <t>標準条件。特別な取扱いは不要です。</t>
  </si>
  <si>
    <t>ランプ本体および外装カートンにPSEマークを表示してください。</t>
  </si>
  <si>
    <t>出荷前にOEKO-TEX認証書を販売代理店のポータルにアップロードしてください。</t>
  </si>
  <si>
    <t>法人契約注文：椅子にはEN 16139試験証明書を添付して出荷してください。</t>
  </si>
  <si>
    <t>商品をオンラインに掲載する前に、ドイツ語の商品データシートが必要です。</t>
  </si>
  <si>
    <t>すべての繊維製品に、小売業者のバーコード付き下げ札を付けてください。</t>
  </si>
  <si>
    <t>発注書に記載のとおり、ホテル施設ごとに1回ずつ、2回に分けて納品してください。</t>
  </si>
  <si>
    <t>ランプの外装カートンにUKCAマーキングが見えるように表示してください。</t>
  </si>
  <si>
    <t>各商品にドイツ語の組立説明書を同梱してください。</t>
  </si>
  <si>
    <t>熱処理済み（ISPM 15）パレットのみ使用してください。</t>
  </si>
  <si>
    <t>在庫・補充</t>
  </si>
  <si>
    <t>2026年10月19日時点のSKU別在庫状況。引当数量は「International Orders」シート上の未完了注文（処理中または保留）です。需要は1月から9月までの平均月間数量です。推奨数量は仕入先の最小発注数量（MOQ）に切り上げています。</t>
  </si>
  <si>
    <t>原価ベースの在庫評価額</t>
  </si>
  <si>
    <t>未完了注文への引当済み数量</t>
  </si>
  <si>
    <t>再発注対象のSKU数</t>
  </si>
  <si>
    <t>推奨補充額（USD）</t>
  </si>
  <si>
    <t>対象期間（1月～9月）の需要月数</t>
  </si>
  <si>
    <t>計画入力値。青色の数値を変更すると、すべてのSKUの需要、再発注点、推奨発注数量が更新されます。</t>
  </si>
  <si>
    <t>再発注後の目標在庫日数</t>
  </si>
  <si>
    <t>再発注点を上回る注意バッファ</t>
  </si>
  <si>
    <t>SKU別在庫状況</t>
  </si>
  <si>
    <t>健全</t>
  </si>
  <si>
    <t>要注意</t>
  </si>
  <si>
    <t>今すぐ再発注</t>
  </si>
  <si>
    <t>欠品リスク</t>
  </si>
  <si>
    <t>主要配送センター</t>
  </si>
  <si>
    <t>手持ち在庫</t>
  </si>
  <si>
    <t>引当済み（未完了注文）</t>
  </si>
  <si>
    <t>引当可能在庫</t>
  </si>
  <si>
    <t>入荷予定の発注分</t>
  </si>
  <si>
    <t>平均月間需要</t>
  </si>
  <si>
    <t>リードタイム（日数）</t>
  </si>
  <si>
    <t>安全在庫（日数）</t>
  </si>
  <si>
    <t>再発注点</t>
  </si>
  <si>
    <t>予測在庫数</t>
  </si>
  <si>
    <t>在庫カバー日数</t>
  </si>
  <si>
    <t>最小発注数量（MOQ）</t>
  </si>
  <si>
    <t>推奨再発注数量</t>
  </si>
  <si>
    <t>再発注額（USD）</t>
  </si>
  <si>
    <t>在庫状況</t>
  </si>
  <si>
    <t>計画担当者メモ</t>
  </si>
  <si>
    <t>グラフデータ</t>
  </si>
  <si>
    <t>再発注トリガー（日数）</t>
  </si>
  <si>
    <t>ロッテルダム、NL</t>
  </si>
  <si>
    <t>在庫は第4四半期の契約案件をカバーしています。次回は11月のホテル入札後に確認してください。</t>
  </si>
  <si>
    <t>日本の需要は計画を上回っています。PSEマーク付き在庫はロッテルダム配送センターに限られています。</t>
  </si>
  <si>
    <t>ニューアーク、US</t>
  </si>
  <si>
    <t>第2四半期に新規導入。2回目の生産を確約する前に、販売消化率を注意深く監視してください。</t>
  </si>
  <si>
    <t>ギフトシーズンのピークは11月の見込みです。在庫切れを避けるため、工場の生産枠を前倒しで確保してください。</t>
  </si>
  <si>
    <t>ランカシャーからの入荷は11月4日の予定です。</t>
  </si>
  <si>
    <t>協同組合への連絡は8週間前までに必要です。カラー構成（サンド 60%、モス 40%）を確認してください。</t>
  </si>
  <si>
    <t>在庫カバーは十分です。ホスピタリティ関連の注文は通常1月に入ります。</t>
  </si>
  <si>
    <t>未完了の契約注文が手持ち在庫を上回っています。入荷予定分をまずホテル・ゼーブリック向けに割り当て、営業部門と納期の変更を確認してください。</t>
  </si>
  <si>
    <t>リードタイムが長いため（98日）、1月の需要に備えて少量の追加発注を検討してください。</t>
  </si>
  <si>
    <t>第2四半期に発売。米国とオーストラリアでは、需要がまだ伸びています。</t>
  </si>
  <si>
    <t>対応不要です。</t>
  </si>
  <si>
    <t>12月はせっ器窯の生産能力が逼迫します。11月6日までに発注してください。</t>
  </si>
  <si>
    <t>2月まで在庫で対応できます。仕入先の価格が1月1日から4%値上がりします。</t>
  </si>
  <si>
    <t>季節商品です。第4四半期の販売消化率が70%を超えた場合に限り、再発注してください。</t>
  </si>
  <si>
    <t>ラグの在庫は適正です。GoodWeave認証は2028年まで更新されています。</t>
  </si>
  <si>
    <t>在庫カバーと再発注トリガーの比較</t>
  </si>
  <si>
    <t>補充の算出方法</t>
  </si>
  <si>
    <t>引当可能在庫 = 手持ち在庫 − 未完了注文（処理中および保留）の引当数量。
予測在庫数 = 引当可能在庫 + 仕入先が確定した入荷予定の発注分。
再発注点 = 平均日次需要 ×（仕入先のリードタイム + 安全在庫日数）。
推奨再発注数量 = 再発注点 + 目標在庫カバー − 予測在庫数。最小発注数量（MOQ）に切り上げます。予測在庫数が再発注点以下、または引当可能在庫がゼロ以下の場合にのみ、推奨数量が表示されます。
在庫状況：引当可能在庫がゼロ以下の場合は「欠品リスク」、再発注点以下の場合は「今すぐ再発注」、再発注点を上回るバッファ内の場合は「要注意」、それ以外は「健全」です。
承認：USD 25,000を超える発注書は、発行前にサプライチェーン担当ディレクターの承認が必要です。</t>
  </si>
  <si>
    <t>プロジェクト・タイドウォーター · Coastlineコレクション発売計画</t>
  </si>
  <si>
    <t>日本の新しいEコマースストアフロントを含む、8市場すべてにおけるCoastlineコレクションの2027年春発売に向けた部門横断計画です。運営委員会が毎週月曜日に進捗を確認します。</t>
  </si>
  <si>
    <t>プロジェクト概要</t>
  </si>
  <si>
    <t>スポンサー</t>
  </si>
  <si>
    <t>ヘンリク・ヴェイル、最高商務責任者</t>
  </si>
  <si>
    <t>全体進捗（期間加重）</t>
  </si>
  <si>
    <t>目標：2027年3月1日に、照明、テキスタイル、テーブルウェアの各カテゴリーでCoastlineのSKUを9種類発売します。すべての市場で、在庫、現地語コンテンツ、認証を整えます。
成功指標：卸売の先行予約でUSD 650,000を達成すること、発売時に日本語ストアフロントを公開すること、5言語すべての商品データが完全でないSKUを発売しないこと。</t>
  </si>
  <si>
    <t>プロジェクトリーダー</t>
  </si>
  <si>
    <t>フレイヤ・リンドクヴィスト、プロダクトディレクター</t>
  </si>
  <si>
    <t>発売日</t>
  </si>
  <si>
    <t>承認済み予算（USD）</t>
  </si>
  <si>
    <t>状況基準日</t>
  </si>
  <si>
    <t>未着手</t>
  </si>
  <si>
    <t>進行中</t>
  </si>
  <si>
    <t>リスクあり</t>
  </si>
  <si>
    <t>完了</t>
  </si>
  <si>
    <t>バー = 計画期間</t>
  </si>
  <si>
    <t>ワークストリーム</t>
  </si>
  <si>
    <t>タスク</t>
  </si>
  <si>
    <t>担当者</t>
  </si>
  <si>
    <t>開始</t>
  </si>
  <si>
    <t>終了</t>
  </si>
  <si>
    <t>稼働日数</t>
  </si>
  <si>
    <t>状況</t>
  </si>
  <si>
    <t>完了率（%）</t>
  </si>
  <si>
    <t>製品・調達</t>
  </si>
  <si>
    <t>Coastlineシリーズと原価計算済み部品表を確定する</t>
  </si>
  <si>
    <t>フレイヤ・リンドクヴィスト</t>
  </si>
  <si>
    <t>量産前サンプルを承認する</t>
  </si>
  <si>
    <t>マイルストーン</t>
  </si>
  <si>
    <t>シリーズ確定</t>
  </si>
  <si>
    <t>運営委員会</t>
  </si>
  <si>
    <t>コンプライアンス</t>
  </si>
  <si>
    <t>照明製品の電気認証（CE、UKCA、UL、PSE）</t>
  </si>
  <si>
    <t>ソフィー・マルシャン</t>
  </si>
  <si>
    <t>テキスタイルおよび食品接触試験</t>
  </si>
  <si>
    <t>サプライチェーン</t>
  </si>
  <si>
    <t>初回生産分を発注する</t>
  </si>
  <si>
    <t>入荷貨物の輸送および配送センターへの配分</t>
  </si>
  <si>
    <t>ローカライズ</t>
  </si>
  <si>
    <t>商品コンテンツをドイツ語、フランス語、日本語、スウェーデン語に翻訳する</t>
  </si>
  <si>
    <t>パッケージおよびケアカードのアートワークを各市場向けにローカライズする</t>
  </si>
  <si>
    <t>マーケティング</t>
  </si>
  <si>
    <t>キャンペーンのコンセプト立案と撮影</t>
  </si>
  <si>
    <t>小売業者向け発売キットおよび販売提案資料</t>
  </si>
  <si>
    <t>営業</t>
  </si>
  <si>
    <t>主要顧客から卸売の先行予約を獲得する</t>
  </si>
  <si>
    <t>日本のEコマースストアフロントを構築する</t>
  </si>
  <si>
    <t>商品データと画像をPIMに登録する</t>
  </si>
  <si>
    <t>物流</t>
  </si>
  <si>
    <t>小売業者向けEDIおよびラベル設定</t>
  </si>
  <si>
    <t>すべての配送センターで在庫を確保する</t>
  </si>
  <si>
    <t>プログラム</t>
  </si>
  <si>
    <t>発売準備状況のレビュー（実施／中止の判断）</t>
  </si>
  <si>
    <t>全市場でCoastlineを発売する</t>
  </si>
  <si>
    <t>タスクの範囲と受け入れ基準</t>
  </si>
  <si>
    <t>範囲と進め方</t>
  </si>
  <si>
    <t>受け入れ基準</t>
  </si>
  <si>
    <t>照明、テキスタイル、テーブルウェアを含むCoastlineの9 SKUのラインアップを確定し、素材とカラー展開を決定して、仕入先と着地原価の目標に合意する。</t>
  </si>
  <si>
    <t>製品委員会がラインアップを承認していること。すべてのSKUの原価計算済み部品表があり、着地原価が目標の3%以内であること。</t>
  </si>
  <si>
    <t>3社の仕入先から量産前サンプルを取り寄せ、仕上げ、色の一貫性、パッケージを確認する。必要に応じて是正措置を依頼する。</t>
  </si>
  <si>
    <t>ゴールデンサンプルを封印し、本社および各工場で保管すること。未解決の重大な不具合がないこと。</t>
  </si>
  <si>
    <t>EU、英国、米国、日本の認証取得に向けて、ランプ2モデルを認定試験機関に提出する。日本のPSE試験はリードタイムが最も長く、クリティカルパス上にある。</t>
  </si>
  <si>
    <t>4地域すべての証明書が発行され、コンプライアンスライブラリに保管されていること。パッケージのアートワークに表示する認証マークが承認されていること。</t>
  </si>
  <si>
    <t>ベッドリネンとタオルのOEKO-TEX試験、およびストーンウェアのサービング用品シリーズの食品接触試験（LFGB、FDA）。</t>
  </si>
  <si>
    <t>すべてのSKUで試験報告書に合格し、証明書番号が商品情報管理システム（PIM）に記録されていること。</t>
  </si>
  <si>
    <t>承認済み需要計画に基づき、発売数量分の発注書を発行する。日本とドイツ向けには10%の安全在庫を含める。</t>
  </si>
  <si>
    <t>すべての仕入先が発注書を確認し、工場渡し日が2027年1月15日を過ぎないこと。</t>
  </si>
  <si>
    <t>ロッテルダムとニューアーク向けの海上輸送、および日本の発売分向けの航空輸送を予約する。配送センター間の在庫配分を決定する。</t>
  </si>
  <si>
    <t>確定した船便スケジュールに基づいて輸送を予約する。2027年2月12日までに、すべての配送センターで在庫を受領し、販売可能な状態にする。</t>
  </si>
  <si>
    <t>承認済みブランド用語集を使用し、9 SKUの商品名、説明、お手入れ方法、サイズガイドを翻訳する。コンテンツはウェブサイト、小売業者向け商品データシート、印刷版のお手入れカードに使用する。</t>
  </si>
  <si>
    <t>すべてのコンテンツが現地市場のネイティブレビュアーによって確認されていること。未解決の用語に関する質問がないこと。合意したPIMインポート形式でファイルが納品されていること。</t>
  </si>
  <si>
    <t>翻訳済みのコピーをパッケージ、下げ札、お手入れカードに反映する。日本語のお手入れカードは裏面を縦書きレイアウトにする。</t>
  </si>
  <si>
    <t>印刷用アートワークがコンプライアンス部門および各地域マネージャーに承認され、印刷会社の校正刷りに署名済みであること。</t>
  </si>
  <si>
    <t>「水辺の暮らし」キャンペーンを企画し、スカーゲンの現地でライフスタイル画像と商品画像を撮影する。嵐のため、屋外撮影が2週間遅れている。</t>
  </si>
  <si>
    <t>レタッチ済み画像を少なくとも120点納品し、すべてのチャネルと市場で使用権が確保されていること。</t>
  </si>
  <si>
    <t>8市場すべての卸売パートナー向けに、ラインシート、商品トレーニングガイド、販売提案資料を作成する。</t>
  </si>
  <si>
    <t>パートナーポータルに5言語でキットを公開し、少なくとも6社の主要顧客からフィードバックを収集する。</t>
  </si>
  <si>
    <t>卸売主要顧客上位20社にコレクションを紹介し、3月納品分の先行予約を獲得する。</t>
  </si>
  <si>
    <t>USD 650,000以上の先行予約が書面で確定し、納品期間について合意していること。</t>
  </si>
  <si>
    <t>厳選型マーケットプレイス上に日本向けストアフロントを設定する。現地の支払い方法、ギフト包装オプション、配送時間帯の選択機能を含める。</t>
  </si>
  <si>
    <t>ストアフロントがデスクトップとモバイルでユーザー受け入れテストに合格し、3種類の支払い方法でチェックアウトを最初から最後までテスト済みであること。</t>
  </si>
  <si>
    <t>翻訳済みのコンテンツと画像をPIMにインポートし、ウェブサイトおよび小売業者向けデータフィードに配信する。</t>
  </si>
  <si>
    <t>すべてのSKUについて、すべての言語で登録が完了していること。PIMダッシュボードのデータ品質スコアが95%を上回ること。</t>
  </si>
  <si>
    <t>主要小売業者ごとに商品レコードを作成し、新SKUのEDIメッセージ（注文、出荷通知、請求書）をテストする。</t>
  </si>
  <si>
    <t>少なくとも5社の小売業者とのテスト注文が正常に完了していること。GS1バーコードが検証済みであること。</t>
  </si>
  <si>
    <t>在庫、コンテンツ、コンプライアンス、マーケティング素材、各チャネルの準備状況について、部門横断でレビューする。</t>
  </si>
  <si>
    <t>運営委員会が実施の決定を記録していること。クリティカルパス上のすべての項目が完了しているか、合意済みの緩和策で対応されていること。</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</si>
</sst>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1">
    <numFmt numFmtId="164" formatCode="0.0"/>
    <numFmt numFmtId="165" formatCode="$#,##0.00"/>
    <numFmt numFmtId="166" formatCode="0.0%"/>
    <numFmt numFmtId="167" formatCode="$#,##0"/>
    <numFmt numFmtId="168" formatCode="▲ 0.0%;▼ 0.0%;0.0%"/>
    <numFmt numFmtId="169" formatCode="yyyy-mm-dd"/>
    <numFmt numFmtId="170" formatCode="d mmm yyyy"/>
    <numFmt numFmtId="171" formatCode="#,##0;[Red]-#,##0"/>
    <numFmt numFmtId="172" formatCode="#,##0;-#,##0;&quot;–&quot;"/>
    <numFmt numFmtId="173" formatCode="$#,##0;-$#,##0;&quot;–&quot;"/>
    <numFmt numFmtId="174" formatCode="#,##0&quot; units on hand&quot;"/>
    <numFmt numFmtId="175" formatCode="0.0%&quot; of stock&quot;"/>
    <numFmt numFmtId="176" formatCode="0&quot; at stock-out risk&quot;"/>
    <numFmt numFmtId="177" formatCode="#,##0&quot; units to order&quot;"/>
    <numFmt numFmtId="178" formatCode="dddd, d mmmm yyyy"/>
    <numFmt numFmtId="179" formatCode="d mmmm yyyy"/>
    <numFmt numFmtId="180" formatCode="0&quot; tasks&quot;"/>
    <numFmt numFmtId="181" formatCode="d"/>
    <numFmt numFmtId="182" formatCode="mmm yyyy"/>
    <numFmt numFmtId="183" formatCode="mmm"/>
    <numFmt numFmtId="184" formatCode="$#,##0,&quot;K&quot;"/>
  </numFmts>
  <fonts count="40">
    <font>
      <name val="Calibri"/>
      <family val="2"/>
      <color theme="1"/>
      <sz val="11"/>
      <scheme val="minor"/>
    </font>
    <font>
      <name val="Arial"/>
      <b val="1"/>
      <color rgb="00C2603A"/>
      <sz val="9"/>
    </font>
    <font>
      <name val="Arial"/>
      <b val="1"/>
      <color rgb="001F2A44"/>
      <sz val="20"/>
    </font>
    <font>
      <name val="Arial"/>
      <color rgb="006B645C"/>
      <sz val="10"/>
    </font>
    <font>
      <name val="Arial"/>
      <b val="1"/>
      <color rgb="00FFFFFF"/>
      <sz val="9"/>
    </font>
    <font>
      <name val="Arial"/>
      <color rgb="002E2A26"/>
      <sz val="10"/>
    </font>
    <font>
      <name val="Arial"/>
      <b val="1"/>
      <color rgb="001F2A44"/>
      <sz val="10"/>
    </font>
    <font>
      <name val="Arial"/>
      <b val="1"/>
      <color rgb="002E2A26"/>
      <sz val="10"/>
    </font>
    <font>
      <name val="Arial"/>
      <i val="1"/>
      <color rgb="006B645C"/>
      <sz val="9"/>
    </font>
    <font>
      <name val="Arial"/>
      <b val="1"/>
      <color rgb="001F2A44"/>
      <sz val="12"/>
    </font>
    <font>
      <name val="Arial"/>
      <color rgb="001F4FD1"/>
      <sz val="10"/>
    </font>
    <font>
      <name val="Arial"/>
      <b val="1"/>
      <color rgb="006B645C"/>
      <sz val="9"/>
    </font>
    <font>
      <name val="Arial"/>
      <b val="1"/>
      <color rgb="001F2A44"/>
      <sz val="11"/>
    </font>
    <font>
      <name val="Arial"/>
      <b val="1"/>
      <color rgb="002F6B4F"/>
      <sz val="9"/>
    </font>
    <font>
      <name val="Arial"/>
      <b val="1"/>
      <color rgb="002B4C7E"/>
      <sz val="9"/>
    </font>
    <font>
      <name val="Arial"/>
      <b val="1"/>
      <color rgb="0086561C"/>
      <sz val="9"/>
    </font>
    <font>
      <name val="Arial"/>
      <b val="1"/>
      <color rgb="00A3421C"/>
      <sz val="9"/>
    </font>
    <font>
      <name val="Arial"/>
      <b val="1"/>
      <color rgb="0077716A"/>
      <sz val="9"/>
    </font>
    <font>
      <name val="Arial"/>
      <color rgb="002E2A26"/>
      <sz val="9"/>
    </font>
    <font>
      <name val="Arial"/>
      <b val="1"/>
      <color rgb="009B2C22"/>
      <sz val="9"/>
    </font>
    <font>
      <name val="Arial"/>
      <b val="1"/>
      <color rgb="006B645C"/>
      <sz val="8"/>
    </font>
    <font>
      <name val="Arial"/>
      <b val="1"/>
      <color rgb="001F2A44"/>
      <sz val="18"/>
    </font>
    <font>
      <name val="Arial"/>
      <color rgb="006B645C"/>
      <sz val="9"/>
    </font>
    <font>
      <name val="Arial"/>
      <color rgb="006B645C"/>
      <sz val="8"/>
    </font>
    <font>
      <name val="Arial"/>
      <b val="1"/>
      <color rgb="001F4FD1"/>
      <sz val="10"/>
    </font>
    <font>
      <name val="Arial"/>
      <b val="1"/>
      <color rgb="001F2A44"/>
      <sz val="28"/>
    </font>
    <font>
      <name val="Arial"/>
      <b val="1"/>
      <color rgb="002F6B4F"/>
      <sz val="10"/>
    </font>
    <font>
      <name val="Arial"/>
      <b val="1"/>
      <color rgb="002B4C7E"/>
      <sz val="10"/>
    </font>
    <font>
      <name val="Arial"/>
      <b val="1"/>
      <color rgb="00A3421C"/>
      <sz val="10"/>
    </font>
    <font>
      <name val="Arial"/>
      <b val="1"/>
      <color rgb="005F5953"/>
      <sz val="10"/>
    </font>
    <font>
      <name val="Arial"/>
      <b val="1"/>
      <color rgb="005F5953"/>
      <sz val="9"/>
    </font>
    <font>
      <name val="Arial"/>
      <b val="1"/>
      <color rgb="001F4FD1"/>
      <sz val="8"/>
    </font>
    <font>
      <name val="Arial"/>
      <color rgb="002E2A26"/>
      <sz val="8"/>
    </font>
    <font>
      <name val="Arial"/>
      <b val="1"/>
      <color rgb="00C2603A"/>
      <sz val="11"/>
    </font>
    <font>
      <name val="Arial"/>
      <b val="1"/>
      <color rgb="00C2603A"/>
      <sz val="10"/>
    </font>
    <font>
      <name val="Arial"/>
      <b val="1"/>
      <color rgb="001F2A44"/>
      <sz val="26"/>
    </font>
    <font>
      <name val="Arial"/>
      <b val="1"/>
      <color rgb="001F2A44"/>
      <sz val="22"/>
    </font>
    <font>
      <name val="Arial"/>
      <b val="1"/>
      <color rgb="002E2A26"/>
      <sz val="9"/>
    </font>
    <font>
      <name val="Arial"/>
      <b val="1"/>
      <color rgb="001F2A44"/>
      <sz val="13"/>
    </font>
    <font>
      <name val="Arial"/>
      <b val="1"/>
      <color rgb="003F7A5F"/>
      <sz val="9"/>
    </font>
  </fonts>
  <fills count="14">
    <fill>
      <patternFill/>
    </fill>
    <fill>
      <patternFill patternType="gray125"/>
    </fill>
    <fill>
      <patternFill patternType="solid">
        <fgColor rgb="001F2A44"/>
        <bgColor rgb="001F2A44"/>
      </patternFill>
    </fill>
    <fill>
      <patternFill patternType="solid">
        <fgColor rgb="00FFF7E3"/>
        <bgColor rgb="00FFF7E3"/>
      </patternFill>
    </fill>
    <fill>
      <patternFill patternType="solid">
        <fgColor rgb="00F4F1EC"/>
        <bgColor rgb="00F4F1EC"/>
      </patternFill>
    </fill>
    <fill>
      <patternFill patternType="solid">
        <fgColor rgb="00FAF8F5"/>
        <bgColor rgb="00FAF8F5"/>
      </patternFill>
    </fill>
    <fill>
      <patternFill patternType="solid">
        <fgColor rgb="00E2EFE7"/>
        <bgColor rgb="00E2EFE7"/>
      </patternFill>
    </fill>
    <fill>
      <patternFill patternType="solid">
        <fgColor rgb="00E1E9F4"/>
        <bgColor rgb="00E1E9F4"/>
      </patternFill>
    </fill>
    <fill>
      <patternFill patternType="solid">
        <fgColor rgb="00F6ECDD"/>
        <bgColor rgb="00F6ECDD"/>
      </patternFill>
    </fill>
    <fill>
      <patternFill patternType="solid">
        <fgColor rgb="00F9E0D3"/>
        <bgColor rgb="00F9E0D3"/>
      </patternFill>
    </fill>
    <fill>
      <patternFill patternType="solid">
        <fgColor rgb="00ECEAE7"/>
        <bgColor rgb="00ECEAE7"/>
      </patternFill>
    </fill>
    <fill>
      <patternFill patternType="solid">
        <fgColor rgb="00F3D3CE"/>
        <bgColor rgb="00F3D3CE"/>
      </patternFill>
    </fill>
    <fill>
      <patternFill patternType="solid">
        <fgColor rgb="00EAE5DD"/>
        <bgColor rgb="00EAE5DD"/>
      </patternFill>
    </fill>
    <fill>
      <patternFill patternType="solid">
        <fgColor rgb="002B4C7E"/>
        <bgColor rgb="002B4C7E"/>
      </patternFill>
    </fill>
  </fills>
  <borders count="26">
    <border>
      <left/>
      <right/>
      <top/>
      <bottom/>
      <diagonal/>
    </border>
    <border>
      <right style="thin">
        <color rgb="003A4763"/>
      </right>
      <bottom style="thin">
        <color rgb="001F2A44"/>
      </bottom>
    </border>
    <border>
      <bottom style="thin">
        <color rgb="00DDD6CB"/>
      </bottom>
    </border>
    <border>
      <bottom style="medium">
        <color rgb="001F2A44"/>
      </bottom>
    </border>
    <border>
      <left/>
      <right/>
      <top/>
      <bottom style="medium">
        <color rgb="001F2A44"/>
      </bottom>
      <diagonal/>
    </border>
    <border>
      <top style="medium">
        <color rgb="001F2A44"/>
      </top>
      <bottom style="thin">
        <color rgb="00DDD6CB"/>
      </bottom>
    </border>
    <border>
      <left/>
      <right/>
      <top/>
      <bottom style="thin">
        <color rgb="00DDD6CB"/>
      </bottom>
      <diagonal/>
    </border>
    <border>
      <left style="medium">
        <color rgb="00FFFFFF"/>
      </left>
      <right style="medium">
        <color rgb="00FFFFFF"/>
      </right>
    </border>
    <border>
      <bottom style="thin">
        <color rgb="00FFFFFF"/>
      </bottom>
    </border>
    <border>
      <left/>
      <right/>
      <top/>
      <bottom style="thin">
        <color rgb="00FFFFFF"/>
      </bottom>
      <diagonal/>
    </border>
    <border>
      <left style="thick">
        <color rgb="00FFFFFF"/>
      </left>
      <right style="thick">
        <color rgb="00FFFFFF"/>
      </right>
      <top style="thick">
        <color rgb="003F7A5F"/>
      </top>
    </border>
    <border>
      <left/>
      <right/>
      <top style="thick">
        <color rgb="003F7A5F"/>
      </top>
      <bottom/>
      <diagonal/>
    </border>
    <border>
      <left/>
      <right style="thick">
        <color rgb="00FFFFFF"/>
      </right>
      <top style="thick">
        <color rgb="003F7A5F"/>
      </top>
      <bottom/>
      <diagonal/>
    </border>
    <border>
      <left style="thick">
        <color rgb="00FFFFFF"/>
      </left>
      <right style="thick">
        <color rgb="00FFFFFF"/>
      </right>
    </border>
    <border>
      <left/>
      <right style="thick">
        <color rgb="00FFFFFF"/>
      </right>
      <top/>
      <bottom/>
      <diagonal/>
    </border>
    <border>
      <right style="thin">
        <color rgb="003A4763"/>
      </right>
    </border>
    <border>
      <left/>
      <right style="thin">
        <color rgb="003A4763"/>
      </right>
      <top/>
      <bottom/>
      <diagonal/>
    </border>
    <border>
      <left style="thin">
        <color rgb="00FFFFFF"/>
      </left>
      <bottom style="thin">
        <color rgb="001F2A44"/>
      </bottom>
    </border>
    <border>
      <left style="thin">
        <color rgb="00FFFFFF"/>
      </left>
    </border>
    <border>
      <left style="thin">
        <color rgb="00F3F0EB"/>
      </left>
      <bottom style="thin">
        <color rgb="00EEEAE4"/>
      </bottom>
    </border>
    <border>
      <top style="thick">
        <color rgb="00C2603A"/>
      </top>
    </border>
    <border>
      <left/>
      <right/>
      <top style="thick">
        <color rgb="00C2603A"/>
      </top>
      <bottom/>
      <diagonal/>
    </border>
    <border>
      <top style="thick">
        <color rgb="001F2A44"/>
      </top>
    </border>
    <border>
      <left/>
      <right/>
      <top style="thick">
        <color rgb="001F2A44"/>
      </top>
      <bottom/>
      <diagonal/>
    </border>
    <border>
      <top style="medium">
        <color rgb="001F2A44"/>
      </top>
    </border>
    <border>
      <left/>
      <right/>
      <top style="medium">
        <color rgb="001F2A44"/>
      </top>
      <bottom/>
      <diagonal/>
    </border>
  </borders>
  <cellStyleXfs count="1">
    <xf numFmtId="0" fontId="0" fillId="0" borderId="0"/>
  </cellStyleXfs>
  <cellXfs count="158">
    <xf numFmtId="0" fontId="0" fillId="0" borderId="0" xfId="0" quotePrefix="false" pivotButton="false"/>
    <xf numFmtId="0" fontId="0" fillId="2" borderId="0" xfId="0" quotePrefix="false" pivotButton="false"/>
    <xf numFmtId="0" fontId="34" fillId="0" borderId="0" xfId="0" quotePrefix="false" pivotButton="false" applyAlignment="true">
      <alignment horizontal="left" vertical="bottom"/>
    </xf>
    <xf numFmtId="0" fontId="11" fillId="0" borderId="0" xfId="0" quotePrefix="false" pivotButton="false" applyAlignment="true">
      <alignment horizontal="right" vertical="bottom"/>
    </xf>
    <xf numFmtId="0" fontId="35" fillId="0" borderId="0" xfId="0" quotePrefix="false" pivotButton="false" applyAlignment="true">
      <alignment horizontal="left" vertical="center"/>
    </xf>
    <xf numFmtId="0" fontId="3" fillId="0" borderId="0" xfId="0" quotePrefix="false" pivotButton="false" applyAlignment="true">
      <alignment horizontal="left" vertical="top"/>
    </xf>
    <xf numFmtId="0" fontId="22" fillId="0" borderId="0" xfId="0" quotePrefix="false" pivotButton="false" applyAlignment="true">
      <alignment horizontal="right" vertical="top"/>
    </xf>
    <xf numFmtId="0" fontId="20" fillId="4" borderId="20" xfId="0" quotePrefix="false" pivotButton="false" applyAlignment="true">
      <alignment horizontal="left" indent="1" vertical="bottom"/>
    </xf>
    <xf numFmtId="0" fontId="0" fillId="0" borderId="21" xfId="0" quotePrefix="false" pivotButton="false"/>
    <xf numFmtId="0" fontId="20" fillId="4" borderId="22" xfId="0" quotePrefix="false" pivotButton="false" applyAlignment="true">
      <alignment horizontal="left" indent="1" vertical="bottom"/>
    </xf>
    <xf numFmtId="0" fontId="0" fillId="0" borderId="23" xfId="0" quotePrefix="false" pivotButton="false"/>
    <xf numFmtId="167" fontId="36" fillId="4" borderId="0" xfId="0" quotePrefix="false" pivotButton="false" applyAlignment="true">
      <alignment horizontal="left" indent="1" vertical="center"/>
    </xf>
    <xf numFmtId="3" fontId="36" fillId="4" borderId="0" xfId="0" quotePrefix="false" pivotButton="false" applyAlignment="true">
      <alignment horizontal="left" indent="1" vertical="center"/>
    </xf>
    <xf numFmtId="166" fontId="36" fillId="4" borderId="0" xfId="0" quotePrefix="false" pivotButton="false" applyAlignment="true">
      <alignment horizontal="left" indent="1" vertical="center"/>
    </xf>
    <xf numFmtId="168" fontId="37" fillId="4" borderId="0" xfId="0" quotePrefix="false" pivotButton="false" applyAlignment="true">
      <alignment horizontal="left" indent="1" vertical="top"/>
    </xf>
    <xf numFmtId="0" fontId="22" fillId="4" borderId="0" xfId="0" quotePrefix="false" pivotButton="false" applyAlignment="true">
      <alignment horizontal="left" vertical="top"/>
    </xf>
    <xf numFmtId="1" fontId="37" fillId="4" borderId="0" xfId="0" quotePrefix="false" pivotButton="false" applyAlignment="true">
      <alignment horizontal="left" indent="1" vertical="top"/>
    </xf>
    <xf numFmtId="166" fontId="37" fillId="4" borderId="0" xfId="0" quotePrefix="false" pivotButton="false" applyAlignment="true">
      <alignment horizontal="left" indent="1" vertical="top"/>
    </xf>
    <xf numFmtId="184" fontId="37" fillId="4" borderId="0" xfId="0" quotePrefix="false" pivotButton="false" applyAlignment="true">
      <alignment horizontal="left" indent="1" vertical="top"/>
    </xf>
    <xf numFmtId="3" fontId="37" fillId="4" borderId="0" xfId="0" quotePrefix="false" pivotButton="false" applyAlignment="true">
      <alignment horizontal="left" indent="1" vertical="top"/>
    </xf>
    <xf numFmtId="0" fontId="0" fillId="4" borderId="0" xfId="0" quotePrefix="false" pivotButton="false"/>
    <xf numFmtId="0" fontId="9" fillId="0" borderId="3" xfId="0" quotePrefix="false" pivotButton="false" applyAlignment="true">
      <alignment horizontal="left" vertical="bottom"/>
    </xf>
    <xf numFmtId="0" fontId="0" fillId="0" borderId="4" xfId="0" quotePrefix="false" pivotButton="false"/>
    <xf numFmtId="0" fontId="4" fillId="2" borderId="0" xfId="0" quotePrefix="false" pivotButton="false" applyAlignment="true">
      <alignment horizontal="left" indent="1" vertical="center" wrapText="true"/>
    </xf>
    <xf numFmtId="0" fontId="4" fillId="2" borderId="0" xfId="0" quotePrefix="false" pivotButton="false" applyAlignment="true">
      <alignment horizontal="center" vertical="center" wrapText="true"/>
    </xf>
    <xf numFmtId="182" fontId="7" fillId="0" borderId="2" xfId="0" quotePrefix="false" pivotButton="false" applyAlignment="true">
      <alignment horizontal="left" indent="1" vertical="center"/>
    </xf>
    <xf numFmtId="167" fontId="5" fillId="0" borderId="2" xfId="0" quotePrefix="false" pivotButton="false" applyAlignment="true">
      <alignment horizontal="right" vertical="center"/>
    </xf>
    <xf numFmtId="167" fontId="10" fillId="3" borderId="2" xfId="0" quotePrefix="false" pivotButton="false" applyAlignment="true">
      <alignment horizontal="right" vertical="center"/>
    </xf>
    <xf numFmtId="168" fontId="5" fillId="0" borderId="2" xfId="0" quotePrefix="false" pivotButton="false" applyAlignment="true">
      <alignment horizontal="right" vertical="center"/>
    </xf>
    <xf numFmtId="3" fontId="5" fillId="0" borderId="2" xfId="0" quotePrefix="false" pivotButton="false" applyAlignment="true">
      <alignment horizontal="right" vertical="center"/>
    </xf>
    <xf numFmtId="0" fontId="7" fillId="0" borderId="2" xfId="0" quotePrefix="false" pivotButton="false" applyAlignment="true">
      <alignment horizontal="left" indent="1" vertical="center"/>
    </xf>
    <xf numFmtId="0" fontId="0" fillId="0" borderId="6" xfId="0" quotePrefix="false" pivotButton="false"/>
    <xf numFmtId="166" fontId="5" fillId="0" borderId="2" xfId="0" quotePrefix="false" pivotButton="false" applyAlignment="true">
      <alignment horizontal="right" vertical="center"/>
    </xf>
    <xf numFmtId="0" fontId="6" fillId="4" borderId="24" xfId="0" quotePrefix="false" pivotButton="false" applyAlignment="true">
      <alignment horizontal="left" indent="1" vertical="center"/>
    </xf>
    <xf numFmtId="0" fontId="0" fillId="0" borderId="25" xfId="0" quotePrefix="false" pivotButton="false"/>
    <xf numFmtId="167" fontId="6" fillId="4" borderId="24" xfId="0" quotePrefix="false" pivotButton="false" applyAlignment="true">
      <alignment horizontal="right" vertical="center"/>
    </xf>
    <xf numFmtId="166" fontId="6" fillId="4" borderId="24" xfId="0" quotePrefix="false" pivotButton="false" applyAlignment="true">
      <alignment horizontal="right" vertical="center"/>
    </xf>
    <xf numFmtId="0" fontId="20" fillId="4" borderId="0" xfId="0" quotePrefix="false" pivotButton="false" applyAlignment="true">
      <alignment horizontal="left" indent="1" vertical="bottom"/>
    </xf>
    <xf numFmtId="0" fontId="38" fillId="4" borderId="0" xfId="0" quotePrefix="false" pivotButton="false" applyAlignment="true">
      <alignment horizontal="left" indent="1" vertical="center"/>
    </xf>
    <xf numFmtId="167" fontId="38" fillId="4" borderId="0" xfId="0" quotePrefix="false" pivotButton="false" applyAlignment="true">
      <alignment horizontal="right" vertical="center"/>
    </xf>
    <xf numFmtId="168" fontId="6" fillId="4" borderId="24" xfId="0" quotePrefix="false" pivotButton="false" applyAlignment="true">
      <alignment horizontal="right" vertical="center"/>
    </xf>
    <xf numFmtId="3" fontId="6" fillId="4" borderId="24" xfId="0" quotePrefix="false" pivotButton="false" applyAlignment="true">
      <alignment horizontal="right" vertical="center"/>
    </xf>
    <xf numFmtId="0" fontId="22" fillId="4" borderId="0" xfId="0" quotePrefix="false" pivotButton="false" applyAlignment="true">
      <alignment horizontal="left" indent="1" vertical="center"/>
    </xf>
    <xf numFmtId="0" fontId="39" fillId="4" borderId="0" xfId="0" quotePrefix="false" pivotButton="false" applyAlignment="true">
      <alignment horizontal="right" vertical="center"/>
    </xf>
    <xf numFmtId="0" fontId="5" fillId="0" borderId="0" xfId="0" quotePrefix="false" pivotButton="false" applyAlignment="true">
      <alignment horizontal="left" indent="1" vertical="top" wrapText="true"/>
    </xf>
    <xf numFmtId="0" fontId="5" fillId="0" borderId="2" xfId="0" quotePrefix="false" pivotButton="false" applyAlignment="true">
      <alignment horizontal="left" indent="1" vertical="center"/>
    </xf>
    <xf numFmtId="1" fontId="12" fillId="0" borderId="2" xfId="0" quotePrefix="false" pivotButton="false" applyAlignment="true">
      <alignment horizontal="right" vertical="center"/>
    </xf>
    <xf numFmtId="167" fontId="12" fillId="0" borderId="2" xfId="0" quotePrefix="false" pivotButton="false" applyAlignment="true">
      <alignment horizontal="right" vertical="center"/>
    </xf>
    <xf numFmtId="9" fontId="12" fillId="0" borderId="2" xfId="0" quotePrefix="false" pivotButton="false" applyAlignment="true">
      <alignment horizontal="right" vertical="center"/>
    </xf>
    <xf numFmtId="0" fontId="5" fillId="4" borderId="0" xfId="0" quotePrefix="false" pivotButton="false" applyAlignment="true">
      <alignment horizontal="left" indent="1" vertical="top" wrapText="true"/>
    </xf>
    <xf numFmtId="0" fontId="8" fillId="0" borderId="0" xfId="0" quotePrefix="false" pivotButton="false" applyAlignment="true">
      <alignment horizontal="left" vertical="top" wrapText="true"/>
    </xf>
    <xf numFmtId="0" fontId="22" fillId="0" borderId="0" xfId="0" quotePrefix="false" pivotButton="false" applyAlignment="true">
      <alignment horizontal="left" vertical="center"/>
    </xf>
    <xf numFmtId="165" fontId="11" fillId="0" borderId="0" xfId="0" quotePrefix="false" pivotButton="false" applyAlignment="true">
      <alignment horizontal="right" vertical="center"/>
    </xf>
    <xf numFmtId="0" fontId="1" fillId="0" borderId="0" xfId="0" quotePrefix="false" pivotButton="false" applyAlignment="true">
      <alignment horizontal="left" vertical="bottom"/>
    </xf>
    <xf numFmtId="0" fontId="2" fillId="0" borderId="0" xfId="0" quotePrefix="false" pivotButton="false" applyAlignment="true">
      <alignment horizontal="left" vertical="center"/>
    </xf>
    <xf numFmtId="0" fontId="3" fillId="0" borderId="0" xfId="0" quotePrefix="false" pivotButton="false" applyAlignment="true">
      <alignment horizontal="left" vertical="top" wrapText="true"/>
    </xf>
    <xf numFmtId="0" fontId="4" fillId="2" borderId="1" xfId="0" quotePrefix="false" pivotButton="false" applyAlignment="true">
      <alignment horizontal="center" vertical="center" wrapText="true"/>
    </xf>
    <xf numFmtId="0" fontId="7" fillId="0" borderId="2" xfId="0" quotePrefix="false" pivotButton="false" applyAlignment="true">
      <alignment horizontal="left" vertical="center"/>
    </xf>
    <xf numFmtId="0" fontId="5" fillId="0" borderId="2" xfId="0" quotePrefix="false" pivotButton="false" applyAlignment="true">
      <alignment horizontal="left" vertical="center"/>
    </xf>
    <xf numFmtId="0" fontId="5" fillId="0" borderId="2" xfId="0" quotePrefix="false" pivotButton="false" applyAlignment="true">
      <alignment horizontal="center" vertical="center"/>
    </xf>
    <xf numFmtId="4" fontId="10" fillId="3" borderId="2" xfId="0" quotePrefix="false" pivotButton="false" applyAlignment="true">
      <alignment horizontal="right" vertical="center"/>
    </xf>
    <xf numFmtId="4" fontId="5" fillId="0" borderId="2" xfId="0" quotePrefix="false" pivotButton="false" applyAlignment="true">
      <alignment horizontal="right" vertical="center"/>
    </xf>
    <xf numFmtId="0" fontId="6" fillId="4" borderId="5" xfId="0" quotePrefix="false" pivotButton="false" applyAlignment="true">
      <alignment horizontal="left" vertical="center"/>
    </xf>
    <xf numFmtId="0" fontId="6" fillId="4" borderId="5" xfId="0" quotePrefix="false" pivotButton="false" applyAlignment="true">
      <alignment horizontal="right" vertical="center"/>
    </xf>
    <xf numFmtId="3" fontId="6" fillId="4" borderId="5" xfId="0" quotePrefix="false" pivotButton="false" applyAlignment="true">
      <alignment horizontal="right" vertical="center"/>
    </xf>
    <xf numFmtId="0" fontId="8" fillId="4" borderId="5" xfId="0" quotePrefix="false" pivotButton="false" applyAlignment="true">
      <alignment horizontal="right" vertical="center"/>
    </xf>
    <xf numFmtId="167" fontId="6" fillId="4" borderId="5" xfId="0" quotePrefix="false" pivotButton="false" applyAlignment="true">
      <alignment horizontal="right" vertical="center"/>
    </xf>
    <xf numFmtId="166" fontId="6" fillId="4" borderId="5" xfId="0" quotePrefix="false" pivotButton="false" applyAlignment="true">
      <alignment horizontal="right" vertical="center"/>
    </xf>
    <xf numFmtId="168" fontId="6" fillId="4" borderId="5" xfId="0" quotePrefix="false" pivotButton="false" applyAlignment="true">
      <alignment horizontal="right" vertical="center"/>
    </xf>
    <xf numFmtId="0" fontId="8" fillId="0" borderId="0" xfId="0" quotePrefix="false" pivotButton="false" applyAlignment="true">
      <alignment horizontal="left" vertical="center" wrapText="true"/>
    </xf>
    <xf numFmtId="0" fontId="6" fillId="0" borderId="2" xfId="0" quotePrefix="false" pivotButton="false" applyAlignment="true">
      <alignment horizontal="left" indent="1" vertical="top" wrapText="true"/>
    </xf>
    <xf numFmtId="0" fontId="5" fillId="0" borderId="2" xfId="0" quotePrefix="false" pivotButton="false" applyAlignment="true">
      <alignment horizontal="left" indent="1" vertical="top" wrapText="true"/>
    </xf>
    <xf numFmtId="0" fontId="6" fillId="5" borderId="2" xfId="0" quotePrefix="false" pivotButton="false" applyAlignment="true">
      <alignment horizontal="left" indent="1" vertical="top" wrapText="true"/>
    </xf>
    <xf numFmtId="0" fontId="5" fillId="5" borderId="2" xfId="0" quotePrefix="false" pivotButton="false" applyAlignment="true">
      <alignment horizontal="left" indent="1" vertical="top" wrapText="true"/>
    </xf>
    <xf numFmtId="0" fontId="6" fillId="0" borderId="2" xfId="0" quotePrefix="false" pivotButton="false" applyAlignment="true">
      <alignment horizontal="left" vertical="top" wrapText="true"/>
    </xf>
    <xf numFmtId="0" fontId="7" fillId="0" borderId="2" xfId="0" quotePrefix="false" pivotButton="false" applyAlignment="true">
      <alignment horizontal="left" vertical="top" wrapText="true"/>
    </xf>
    <xf numFmtId="0" fontId="5" fillId="0" borderId="2" xfId="0" quotePrefix="false" pivotButton="false" applyAlignment="true">
      <alignment horizontal="left" vertical="top" wrapText="true"/>
    </xf>
    <xf numFmtId="164" fontId="5" fillId="0" borderId="2" xfId="0" quotePrefix="false" pivotButton="false" applyAlignment="true">
      <alignment horizontal="right" vertical="top"/>
    </xf>
    <xf numFmtId="165" fontId="5" fillId="0" borderId="2" xfId="0" quotePrefix="false" pivotButton="false" applyAlignment="true">
      <alignment horizontal="right" vertical="top"/>
    </xf>
    <xf numFmtId="166" fontId="5" fillId="0" borderId="2" xfId="0" quotePrefix="false" pivotButton="false" applyAlignment="true">
      <alignment horizontal="right" vertical="top"/>
    </xf>
    <xf numFmtId="0" fontId="5" fillId="0" borderId="2" xfId="0" quotePrefix="false" pivotButton="false" applyAlignment="true">
      <alignment horizontal="center" vertical="top"/>
    </xf>
    <xf numFmtId="0" fontId="11" fillId="0" borderId="0" xfId="0" quotePrefix="false" pivotButton="false" applyAlignment="true">
      <alignment horizontal="left" vertical="center"/>
    </xf>
    <xf numFmtId="3" fontId="12" fillId="0" borderId="0" xfId="0" quotePrefix="false" pivotButton="false" applyAlignment="true">
      <alignment horizontal="left" vertical="center"/>
    </xf>
    <xf numFmtId="0" fontId="11" fillId="0" borderId="0" xfId="0" quotePrefix="false" pivotButton="false" applyAlignment="true">
      <alignment horizontal="right" vertical="center"/>
    </xf>
    <xf numFmtId="167" fontId="12" fillId="0" borderId="0" xfId="0" quotePrefix="false" pivotButton="false" applyAlignment="true">
      <alignment horizontal="left" indent="1" vertical="center"/>
    </xf>
    <xf numFmtId="0" fontId="13" fillId="6" borderId="7" xfId="0" quotePrefix="false" pivotButton="false" applyAlignment="true">
      <alignment horizontal="center" vertical="center"/>
    </xf>
    <xf numFmtId="0" fontId="14" fillId="7" borderId="7" xfId="0" quotePrefix="false" pivotButton="false" applyAlignment="true">
      <alignment horizontal="center" vertical="center"/>
    </xf>
    <xf numFmtId="0" fontId="15" fillId="8" borderId="7" xfId="0" quotePrefix="false" pivotButton="false" applyAlignment="true">
      <alignment horizontal="center" vertical="center"/>
    </xf>
    <xf numFmtId="0" fontId="16" fillId="9" borderId="7" xfId="0" quotePrefix="false" pivotButton="false" applyAlignment="true">
      <alignment horizontal="center" vertical="center"/>
    </xf>
    <xf numFmtId="0" fontId="17" fillId="10" borderId="7" xfId="0" quotePrefix="false" pivotButton="false" applyAlignment="true">
      <alignment horizontal="center" vertical="center"/>
    </xf>
    <xf numFmtId="0" fontId="6" fillId="0" borderId="2" xfId="0" quotePrefix="false" pivotButton="false" applyAlignment="true">
      <alignment horizontal="left" vertical="top"/>
    </xf>
    <xf numFmtId="170" fontId="5" fillId="0" borderId="2" xfId="0" quotePrefix="false" pivotButton="false" applyAlignment="true">
      <alignment horizontal="left" vertical="top"/>
    </xf>
    <xf numFmtId="0" fontId="5" fillId="0" borderId="2" xfId="0" quotePrefix="false" pivotButton="false" applyAlignment="true">
      <alignment horizontal="left" vertical="top"/>
    </xf>
    <xf numFmtId="3" fontId="5" fillId="0" borderId="2" xfId="0" quotePrefix="false" pivotButton="false" applyAlignment="true">
      <alignment horizontal="right" vertical="top"/>
    </xf>
    <xf numFmtId="4" fontId="5" fillId="0" borderId="2" xfId="0" quotePrefix="false" pivotButton="false" applyAlignment="true">
      <alignment horizontal="right" vertical="top"/>
    </xf>
    <xf numFmtId="0" fontId="20" fillId="4" borderId="10" xfId="0" quotePrefix="false" pivotButton="false" applyAlignment="true">
      <alignment horizontal="left" indent="1" vertical="bottom"/>
    </xf>
    <xf numFmtId="0" fontId="0" fillId="0" borderId="12" xfId="0" quotePrefix="false" pivotButton="false"/>
    <xf numFmtId="0" fontId="0" fillId="0" borderId="11" xfId="0" quotePrefix="false" pivotButton="false"/>
    <xf numFmtId="0" fontId="18" fillId="4" borderId="8" xfId="0" quotePrefix="false" pivotButton="false" applyAlignment="true">
      <alignment horizontal="left" indent="1" vertical="center"/>
    </xf>
    <xf numFmtId="0" fontId="0" fillId="0" borderId="9" xfId="0" quotePrefix="false" pivotButton="false"/>
    <xf numFmtId="1" fontId="10" fillId="3" borderId="8" xfId="0" quotePrefix="false" pivotButton="false" applyAlignment="true">
      <alignment horizontal="right" vertical="center"/>
    </xf>
    <xf numFmtId="0" fontId="8" fillId="0" borderId="0" xfId="0" quotePrefix="false" pivotButton="false" applyAlignment="true">
      <alignment horizontal="left" indent="1" vertical="center" wrapText="true"/>
    </xf>
    <xf numFmtId="167" fontId="21" fillId="4" borderId="13" xfId="0" quotePrefix="false" pivotButton="false" applyAlignment="true">
      <alignment horizontal="left" indent="1" vertical="center"/>
    </xf>
    <xf numFmtId="0" fontId="0" fillId="0" borderId="14" xfId="0" quotePrefix="false" pivotButton="false"/>
    <xf numFmtId="3" fontId="21" fillId="4" borderId="13" xfId="0" quotePrefix="false" pivotButton="false" applyAlignment="true">
      <alignment horizontal="left" indent="1" vertical="center"/>
    </xf>
    <xf numFmtId="1" fontId="21" fillId="4" borderId="13" xfId="0" quotePrefix="false" pivotButton="false" applyAlignment="true">
      <alignment horizontal="left" indent="1" vertical="center"/>
    </xf>
    <xf numFmtId="174" fontId="22" fillId="4" borderId="13" xfId="0" quotePrefix="false" pivotButton="false" applyAlignment="true">
      <alignment horizontal="left" indent="1" vertical="top"/>
    </xf>
    <xf numFmtId="175" fontId="22" fillId="4" borderId="13" xfId="0" quotePrefix="false" pivotButton="false" applyAlignment="true">
      <alignment horizontal="left" indent="1" vertical="top"/>
    </xf>
    <xf numFmtId="176" fontId="22" fillId="4" borderId="13" xfId="0" quotePrefix="false" pivotButton="false" applyAlignment="true">
      <alignment horizontal="left" indent="1" vertical="top"/>
    </xf>
    <xf numFmtId="177" fontId="22" fillId="4" borderId="13" xfId="0" quotePrefix="false" pivotButton="false" applyAlignment="true">
      <alignment horizontal="left" indent="1" vertical="top"/>
    </xf>
    <xf numFmtId="9" fontId="10" fillId="3" borderId="8" xfId="0" quotePrefix="false" pivotButton="false" applyAlignment="true">
      <alignment horizontal="right" vertical="center"/>
    </xf>
    <xf numFmtId="0" fontId="19" fillId="11" borderId="7" xfId="0" quotePrefix="false" pivotButton="false" applyAlignment="true">
      <alignment horizontal="center" vertical="center"/>
    </xf>
    <xf numFmtId="0" fontId="20" fillId="0" borderId="0" xfId="0" quotePrefix="false" pivotButton="false"/>
    <xf numFmtId="3" fontId="10" fillId="3" borderId="2" xfId="0" quotePrefix="false" pivotButton="false" applyAlignment="true">
      <alignment horizontal="right" vertical="top"/>
    </xf>
    <xf numFmtId="171" fontId="5" fillId="0" borderId="2" xfId="0" quotePrefix="false" pivotButton="false" applyAlignment="true">
      <alignment horizontal="right" vertical="top"/>
    </xf>
    <xf numFmtId="1" fontId="5" fillId="0" borderId="2" xfId="0" quotePrefix="false" pivotButton="false" applyAlignment="true">
      <alignment horizontal="right" vertical="top"/>
    </xf>
    <xf numFmtId="172" fontId="5" fillId="0" borderId="2" xfId="0" quotePrefix="false" pivotButton="false" applyAlignment="true">
      <alignment horizontal="right" vertical="top"/>
    </xf>
    <xf numFmtId="173" fontId="5" fillId="0" borderId="2" xfId="0" quotePrefix="false" pivotButton="false" applyAlignment="true">
      <alignment horizontal="right" vertical="top"/>
    </xf>
    <xf numFmtId="0" fontId="23" fillId="0" borderId="0" xfId="0" quotePrefix="false" pivotButton="false"/>
    <xf numFmtId="1" fontId="23" fillId="0" borderId="0" xfId="0" quotePrefix="false" pivotButton="false"/>
    <xf numFmtId="0" fontId="22" fillId="0" borderId="2" xfId="0" quotePrefix="false" pivotButton="false" applyAlignment="true">
      <alignment horizontal="left" vertical="center"/>
    </xf>
    <xf numFmtId="9" fontId="25" fillId="4" borderId="0" xfId="0" quotePrefix="false" pivotButton="false" applyAlignment="true">
      <alignment horizontal="center" vertical="center"/>
    </xf>
    <xf numFmtId="0" fontId="18" fillId="4" borderId="0" xfId="0" quotePrefix="false" pivotButton="false" applyAlignment="true">
      <alignment horizontal="left" indent="1" vertical="center"/>
    </xf>
    <xf numFmtId="180" fontId="26" fillId="4" borderId="0" xfId="0" quotePrefix="false" pivotButton="false" applyAlignment="true">
      <alignment horizontal="right" vertical="center"/>
    </xf>
    <xf numFmtId="178" fontId="7" fillId="0" borderId="2" xfId="0" quotePrefix="false" pivotButton="false" applyAlignment="true">
      <alignment horizontal="left" vertical="center"/>
    </xf>
    <xf numFmtId="180" fontId="27" fillId="4" borderId="0" xfId="0" quotePrefix="false" pivotButton="false" applyAlignment="true">
      <alignment horizontal="right" vertical="center"/>
    </xf>
    <xf numFmtId="167" fontId="24" fillId="3" borderId="2" xfId="0" quotePrefix="false" pivotButton="false" applyAlignment="true">
      <alignment horizontal="left" vertical="center"/>
    </xf>
    <xf numFmtId="0" fontId="24" fillId="3" borderId="6" xfId="0" quotePrefix="false" pivotButton="false"/>
    <xf numFmtId="180" fontId="28" fillId="4" borderId="0" xfId="0" quotePrefix="false" pivotButton="false" applyAlignment="true">
      <alignment horizontal="right" vertical="center"/>
    </xf>
    <xf numFmtId="179" fontId="24" fillId="3" borderId="2" xfId="0" quotePrefix="false" pivotButton="false" applyAlignment="true">
      <alignment horizontal="left" vertical="center"/>
    </xf>
    <xf numFmtId="180" fontId="29" fillId="4" borderId="0" xfId="0" quotePrefix="false" pivotButton="false" applyAlignment="true">
      <alignment horizontal="right" vertical="center"/>
    </xf>
    <xf numFmtId="0" fontId="30" fillId="10" borderId="7" xfId="0" quotePrefix="false" pivotButton="false" applyAlignment="true">
      <alignment horizontal="center" vertical="center"/>
    </xf>
    <xf numFmtId="0" fontId="8" fillId="0" borderId="0" xfId="0" quotePrefix="false" pivotButton="false" applyAlignment="true">
      <alignment horizontal="left" vertical="center"/>
    </xf>
    <xf numFmtId="0" fontId="4" fillId="2" borderId="15" xfId="0" quotePrefix="false" pivotButton="false" applyAlignment="true">
      <alignment horizontal="center" vertical="center" wrapText="true"/>
    </xf>
    <xf numFmtId="182" fontId="4" fillId="13" borderId="18" xfId="0" quotePrefix="false" pivotButton="false" applyAlignment="true">
      <alignment horizontal="center" vertical="center"/>
    </xf>
    <xf numFmtId="183" fontId="4" fillId="13" borderId="18" xfId="0" quotePrefix="false" pivotButton="false" applyAlignment="true">
      <alignment horizontal="center" vertical="center"/>
    </xf>
    <xf numFmtId="0" fontId="0" fillId="0" borderId="16" xfId="0" quotePrefix="false" pivotButton="false"/>
    <xf numFmtId="181" fontId="31" fillId="12" borderId="17" xfId="0" quotePrefix="false" pivotButton="false" applyAlignment="true">
      <alignment horizontal="center" vertical="center"/>
    </xf>
    <xf numFmtId="181" fontId="32" fillId="12" borderId="17" xfId="0" quotePrefix="false" pivotButton="false" applyAlignment="true">
      <alignment horizontal="center" vertical="center"/>
    </xf>
    <xf numFmtId="0" fontId="6" fillId="0" borderId="2" xfId="0" quotePrefix="false" pivotButton="false" applyAlignment="true">
      <alignment horizontal="left" vertical="center"/>
    </xf>
    <xf numFmtId="0" fontId="5" fillId="0" borderId="2" xfId="0" quotePrefix="false" pivotButton="false" applyAlignment="true">
      <alignment horizontal="left" vertical="center" wrapText="true"/>
    </xf>
    <xf numFmtId="170" fontId="5" fillId="0" borderId="2" xfId="0" quotePrefix="false" pivotButton="false" applyAlignment="true">
      <alignment horizontal="left" vertical="center"/>
    </xf>
    <xf numFmtId="1" fontId="5" fillId="0" borderId="2" xfId="0" quotePrefix="false" pivotButton="false" applyAlignment="true">
      <alignment horizontal="center" vertical="center"/>
    </xf>
    <xf numFmtId="9" fontId="5" fillId="0" borderId="2" xfId="0" quotePrefix="false" pivotButton="false" applyAlignment="true">
      <alignment horizontal="right" vertical="center"/>
    </xf>
    <xf numFmtId="0" fontId="0" fillId="0" borderId="19" xfId="0" quotePrefix="false" pivotButton="false"/>
    <xf numFmtId="0" fontId="6" fillId="4" borderId="2" xfId="0" quotePrefix="false" pivotButton="false" applyAlignment="true">
      <alignment horizontal="left" vertical="center"/>
    </xf>
    <xf numFmtId="0" fontId="6" fillId="4" borderId="2" xfId="0" quotePrefix="false" pivotButton="false" applyAlignment="true">
      <alignment horizontal="left" vertical="center" wrapText="true"/>
    </xf>
    <xf numFmtId="170" fontId="6" fillId="4" borderId="2" xfId="0" quotePrefix="false" pivotButton="false" applyAlignment="true">
      <alignment horizontal="left" vertical="center"/>
    </xf>
    <xf numFmtId="1" fontId="6" fillId="4" borderId="2" xfId="0" quotePrefix="false" pivotButton="false" applyAlignment="true">
      <alignment horizontal="center" vertical="center"/>
    </xf>
    <xf numFmtId="0" fontId="6" fillId="4" borderId="2" xfId="0" quotePrefix="false" pivotButton="false" applyAlignment="true">
      <alignment horizontal="center" vertical="center"/>
    </xf>
    <xf numFmtId="9" fontId="6" fillId="4" borderId="2" xfId="0" quotePrefix="false" pivotButton="false" applyAlignment="true">
      <alignment horizontal="right" vertical="center"/>
    </xf>
    <xf numFmtId="0" fontId="33" fillId="4" borderId="19" xfId="0" quotePrefix="false" pivotButton="false" applyAlignment="true">
      <alignment horizontal="center" vertical="center"/>
    </xf>
    <xf numFmtId="0" fontId="6" fillId="0" borderId="2" xfId="0" quotePrefix="false" pivotButton="false" applyAlignment="true">
      <alignment horizontal="left" indent="1" vertical="top"/>
    </xf>
    <xf numFmtId="0" fontId="7" fillId="0" borderId="2" xfId="0" quotePrefix="false" pivotButton="false" applyAlignment="true">
      <alignment horizontal="left" indent="1" vertical="top" wrapText="true"/>
    </xf>
    <xf numFmtId="0" fontId="0" fillId="0" borderId="2" xfId="0" quotePrefix="false" pivotButton="false"/>
    <xf numFmtId="0" fontId="6" fillId="5" borderId="2" xfId="0" quotePrefix="false" pivotButton="false" applyAlignment="true">
      <alignment horizontal="left" indent="1" vertical="top"/>
    </xf>
    <xf numFmtId="0" fontId="7" fillId="5" borderId="2" xfId="0" quotePrefix="false" pivotButton="false" applyAlignment="true">
      <alignment horizontal="left" indent="1" vertical="top" wrapText="true"/>
    </xf>
    <xf numFmtId="0" fontId="0" fillId="5" borderId="2" xfId="0" quotePrefix="false" pivotButton="false"/>
  </cellXfs>
  <cellStyles count="1">
    <cellStyle name="Normal" xfId="0" builtinId="0" hidden="false"/>
  </cellStyles>
  <dxfs count="21">
    <dxf>
      <font>
        <name val="Arial"/>
        <b val="1"/>
        <color rgb="003F7A5F"/>
      </font>
    </dxf>
    <dxf>
      <font>
        <name val="Arial"/>
        <b val="1"/>
        <color rgb="00B23B2E"/>
      </font>
    </dxf>
    <dxf>
      <font>
        <name val="Arial"/>
        <b val="1"/>
        <color rgb="00B23B2E"/>
      </font>
      <fill>
        <patternFill patternType="solid">
          <fgColor rgb="00F3D3CE"/>
          <bgColor rgb="00F3D3CE"/>
        </patternFill>
      </fill>
    </dxf>
    <dxf>
      <fill>
        <patternFill patternType="solid">
          <fgColor rgb="00FAF8F5"/>
          <bgColor rgb="00FAF8F5"/>
        </patternFill>
      </fill>
    </dxf>
    <dxf>
      <font>
        <name val="Arial"/>
        <b val="1"/>
        <color rgb="00C2603A"/>
      </font>
    </dxf>
    <dxf>
      <font>
        <name val="Arial"/>
        <b val="1"/>
        <color rgb="002F6B4F"/>
      </font>
      <fill>
        <patternFill patternType="solid">
          <fgColor rgb="00E2EFE7"/>
          <bgColor rgb="00E2EFE7"/>
        </patternFill>
      </fill>
    </dxf>
    <dxf>
      <font>
        <name val="Arial"/>
        <b val="1"/>
        <color rgb="002B4C7E"/>
      </font>
      <fill>
        <patternFill patternType="solid">
          <fgColor rgb="00E1E9F4"/>
          <bgColor rgb="00E1E9F4"/>
        </patternFill>
      </fill>
    </dxf>
    <dxf>
      <font>
        <name val="Arial"/>
        <b val="1"/>
        <color rgb="0086561C"/>
      </font>
      <fill>
        <patternFill patternType="solid">
          <fgColor rgb="00F6ECDD"/>
          <bgColor rgb="00F6ECDD"/>
        </patternFill>
      </fill>
    </dxf>
    <dxf>
      <font>
        <name val="Arial"/>
        <b val="1"/>
        <color rgb="00A3421C"/>
      </font>
      <fill>
        <patternFill patternType="solid">
          <fgColor rgb="00F9E0D3"/>
          <bgColor rgb="00F9E0D3"/>
        </patternFill>
      </fill>
    </dxf>
    <dxf>
      <font>
        <name val="Arial"/>
        <b val="1"/>
        <color rgb="0077716A"/>
      </font>
      <fill>
        <patternFill patternType="solid">
          <fgColor rgb="00ECEAE7"/>
          <bgColor rgb="00ECEAE7"/>
        </patternFill>
      </fill>
    </dxf>
    <dxf>
      <font>
        <name val="Arial"/>
        <strike val="1"/>
        <color rgb="009A948C"/>
      </font>
    </dxf>
    <dxf>
      <numFmt numFmtId="200" formatCode="#,##0"/>
      <fill>
        <patternFill patternType="solid">
          <fgColor rgb="00FAF8F5"/>
          <bgColor rgb="00FAF8F5"/>
        </patternFill>
      </fill>
    </dxf>
    <dxf>
      <numFmt numFmtId="200" formatCode="#,##0"/>
    </dxf>
    <dxf>
      <font>
        <name val="Arial"/>
        <b val="1"/>
        <color rgb="009B2C22"/>
      </font>
      <fill>
        <patternFill patternType="solid">
          <fgColor rgb="00F3D3CE"/>
          <bgColor rgb="00F3D3CE"/>
        </patternFill>
      </fill>
    </dxf>
    <dxf>
      <fill>
        <patternFill patternType="solid">
          <fgColor rgb="007FA88F"/>
          <bgColor rgb="007FA88F"/>
        </patternFill>
      </fill>
    </dxf>
    <dxf>
      <fill>
        <patternFill patternType="solid">
          <fgColor rgb="00D9824F"/>
          <bgColor rgb="00D9824F"/>
        </patternFill>
      </fill>
    </dxf>
    <dxf>
      <fill>
        <patternFill patternType="solid">
          <fgColor rgb="002B4C7E"/>
          <bgColor rgb="002B4C7E"/>
        </patternFill>
      </fill>
    </dxf>
    <dxf>
      <fill>
        <patternFill patternType="solid">
          <fgColor rgb="00B9C3D3"/>
          <bgColor rgb="00B9C3D3"/>
        </patternFill>
      </fill>
    </dxf>
    <dxf>
      <fill>
        <patternFill patternType="solid">
          <fgColor rgb="00FBE9DD"/>
          <bgColor rgb="00FBE9DD"/>
        </patternFill>
      </fill>
    </dxf>
    <dxf>
      <font>
        <name val="Arial"/>
        <b val="1"/>
        <color rgb="00FFFFFF"/>
      </font>
      <fill>
        <patternFill patternType="solid">
          <fgColor rgb="00C2603A"/>
          <bgColor rgb="00C2603A"/>
        </patternFill>
      </fill>
    </dxf>
    <dxf>
      <font>
        <name val="Arial"/>
        <b val="1"/>
        <color rgb="005F5953"/>
      </font>
      <fill>
        <patternFill patternType="solid">
          <fgColor rgb="00ECEAE7"/>
          <bgColor rgb="00ECEAE7"/>
        </patternFill>
      </fill>
    </dxf>
  </dxf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Relationships xmlns="http://schemas.openxmlformats.org/package/2006/relationships"><Relationship Id="rId1" Target="/xl/worksheets/sheet1.xml" Type="http://schemas.openxmlformats.org/officeDocument/2006/relationships/worksheet"></Relationship><Relationship Id="rId2" Target="/xl/worksheets/sheet2.xml" Type="http://schemas.openxmlformats.org/officeDocument/2006/relationships/worksheet"></Relationship><Relationship Id="rId3" Target="/xl/worksheets/sheet3.xml" Type="http://schemas.openxmlformats.org/officeDocument/2006/relationships/worksheet"></Relationship><Relationship Id="rId4" Target="/xl/worksheets/sheet4.xml" Type="http://schemas.openxmlformats.org/officeDocument/2006/relationships/worksheet"></Relationship><Relationship Id="rId5" Target="/xl/worksheets/sheet5.xml" Type="http://schemas.openxmlformats.org/officeDocument/2006/relationships/worksheet"></Relationship><Relationship Id="rId6" Target="/xl/worksheets/sheet6.xml" Type="http://schemas.openxmlformats.org/officeDocument/2006/relationships/worksheet"></Relationship><Relationship Id="rId7" Target="styles.xml" Type="http://schemas.openxmlformats.org/officeDocument/2006/relationships/styles"></Relationship><Relationship Id="rId8" Target="theme/theme1.xml" Type="http://schemas.openxmlformats.org/officeDocument/2006/relationships/theme"></Relationship><Relationship Id="rId9" Target="/xl/sharedStrings.xml" Type="http://schemas.openxmlformats.org/officeDocument/2006/relationships/sharedStrings"></Relationship></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sz="1200" b="1">
                <a:solidFill>
                  <a:srgbClr val="1F2A44"/>
                </a:solidFill>
                <a:latin typeface="Arial"/>
              </a:defRPr>
            </a:pPr>
            <a:r>
              <a:rPr sz="1200" b="1">
                <a:solidFill>
                  <a:srgbClr val="1F2A44"/>
                </a:solidFill>
                <a:latin typeface="Arial"/>
              </a:rPr>
              <a:t>月次純売上高と目標（USD）</a:t>
            </a:r>
          </a:p>
        </rich>
      </tx>
      <overlay val="0"/>
    </title>
    <plotArea>
      <barChart>
        <barDir val="col"/>
        <grouping val="clustered"/>
        <ser>
          <idx val="0"/>
          <order val="0"/>
          <tx>
            <strRef>
              <f>'Executive Overview'!C29</f>
              <strCache>
                <ptCount val="1"/>
                <pt idx="0">
                  <v>Net revenue (USD)</v>
                </pt>
              </strCache>
            </strRef>
          </tx>
          <spPr>
            <a:solidFill xmlns:a="http://schemas.openxmlformats.org/drawingml/2006/main">
              <a:srgbClr val="1F2A44"/>
            </a:solidFill>
            <a:ln xmlns:a="http://schemas.openxmlformats.org/drawingml/2006/main">
              <a:solidFill>
                <a:srgbClr val="1F2A44"/>
              </a:solidFill>
              <a:prstDash val="solid"/>
            </a:ln>
          </spPr>
          <cat>
            <numRef>
              <f>'Executive Overview'!$B$30:$B$38</f>
              <numCache>
                <formatCode>mmm</formatCode>
                <ptCount val="9"/>
                <pt idx="0">
                  <v>46023</v>
                </pt>
                <pt idx="1">
                  <v>46054</v>
                </pt>
                <pt idx="2">
                  <v>46082</v>
                </pt>
                <pt idx="3">
                  <v>46113</v>
                </pt>
                <pt idx="4">
                  <v>46143</v>
                </pt>
                <pt idx="5">
                  <v>46174</v>
                </pt>
                <pt idx="6">
                  <v>46204</v>
                </pt>
                <pt idx="7">
                  <v>46235</v>
                </pt>
                <pt idx="8">
                  <v>46266</v>
                </pt>
              </numCache>
            </numRef>
          </cat>
          <val>
            <numRef>
              <f>'Executive Overview'!$C$30:$C$38</f>
              <numCache>
                <formatCode>General</formatCode>
                <ptCount val="9"/>
                <pt idx="0">
                  <v>227340.64</v>
                </pt>
                <pt idx="1">
                  <v>245868.29</v>
                </pt>
                <pt idx="2">
                  <v>202352.71</v>
                </pt>
                <pt idx="3">
                  <v>213488.04</v>
                </pt>
                <pt idx="4">
                  <v>257526.76</v>
                </pt>
                <pt idx="5">
                  <v>251986.98</v>
                </pt>
                <pt idx="6">
                  <v>275649.48</v>
                </pt>
                <pt idx="7">
                  <v>316746.08</v>
                </pt>
                <pt idx="8">
                  <v>265479.69</v>
                </pt>
              </numCache>
            </numRef>
          </val>
        </ser>
        <gapWidth val="45"/>
        <axId val="10"/>
        <axId val="100"/>
      </barChart>
      <lineChart>
        <grouping val="standard"/>
        <ser>
          <idx val="1"/>
          <order val="1"/>
          <tx>
            <strRef>
              <f>'Executive Overview'!E29</f>
              <strCache>
                <ptCount val="1"/>
                <pt idx="0">
                  <v>Target (USD)</v>
                </pt>
              </strCache>
            </strRef>
          </tx>
          <spPr>
            <a:ln xmlns:a="http://schemas.openxmlformats.org/drawingml/2006/main" w="31750">
              <a:solidFill>
                <a:srgbClr val="C2603A"/>
              </a:solidFill>
              <a:prstDash val="solid"/>
            </a:ln>
          </spPr>
          <marker>
            <symbol val="circle"/>
            <size val="6"/>
            <spPr>
              <a:solidFill xmlns:a="http://schemas.openxmlformats.org/drawingml/2006/main">
                <a:srgbClr val="C2603A"/>
              </a:solidFill>
              <a:ln xmlns:a="http://schemas.openxmlformats.org/drawingml/2006/main">
                <a:solidFill>
                  <a:srgbClr val="FFFFFF"/>
                </a:solidFill>
                <a:prstDash val="solid"/>
              </a:ln>
            </spPr>
          </marker>
          <cat>
            <numRef>
              <f>'Executive Overview'!$B$30:$B$38</f>
              <numCache>
                <formatCode>mmm</formatCode>
                <ptCount val="9"/>
                <pt idx="0">
                  <v>46023</v>
                </pt>
                <pt idx="1">
                  <v>46054</v>
                </pt>
                <pt idx="2">
                  <v>46082</v>
                </pt>
                <pt idx="3">
                  <v>46113</v>
                </pt>
                <pt idx="4">
                  <v>46143</v>
                </pt>
                <pt idx="5">
                  <v>46174</v>
                </pt>
                <pt idx="6">
                  <v>46204</v>
                </pt>
                <pt idx="7">
                  <v>46235</v>
                </pt>
                <pt idx="8">
                  <v>46266</v>
                </pt>
              </numCache>
            </numRef>
          </cat>
          <val>
            <numRef>
              <f>'Executive Overview'!$E$30:$E$38</f>
              <numCache>
                <formatCode>General</formatCode>
                <ptCount val="9"/>
                <pt idx="0">
                  <v>220000</v>
                </pt>
                <pt idx="1">
                  <v>250000</v>
                </pt>
                <pt idx="2">
                  <v>210000</v>
                </pt>
                <pt idx="3">
                  <v>210000</v>
                </pt>
                <pt idx="4">
                  <v>245000</v>
                </pt>
                <pt idx="5">
                  <v>255000</v>
                </pt>
                <pt idx="6">
                  <v>265000</v>
                </pt>
                <pt idx="7">
                  <v>295000</v>
                </pt>
                <pt idx="8">
                  <v>280000</v>
                </pt>
              </numCache>
            </numRef>
          </val>
          <smooth val="0"/>
        </ser>
        <axId val="10"/>
        <axId val="100"/>
      </lineChart>
      <catAx>
        <axId val="10"/>
        <scaling>
          <orientation val="minMax"/>
        </scaling>
        <delete val="0"/>
        <axPos val="l"/>
        <numFmt formatCode="mmm" sourceLinked="0"/>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sz="1200" b="1">
                <a:solidFill>
                  <a:srgbClr val="1F2A44"/>
                </a:solidFill>
                <a:latin typeface="Arial"/>
              </a:defRPr>
            </a:pPr>
            <a:r>
              <a:rPr sz="1200" b="1">
                <a:solidFill>
                  <a:srgbClr val="1F2A44"/>
                </a:solidFill>
                <a:latin typeface="Arial"/>
              </a:rPr>
              <a:t>カテゴリ別純売上高（USD）</a:t>
            </a:r>
          </a:p>
        </rich>
      </tx>
      <overlay val="0"/>
    </title>
    <plotArea>
      <barChart>
        <barDir val="bar"/>
        <grouping val="clustered"/>
        <ser>
          <idx val="0"/>
          <order val="0"/>
          <tx>
            <strRef>
              <f>'Executive Overview'!N29</f>
              <strCache>
                <ptCount val="1"/>
                <pt idx="0">
                  <v>Net revenue (USD)</v>
                </pt>
              </strCache>
            </strRef>
          </tx>
          <spPr>
            <a:solidFill xmlns:a="http://schemas.openxmlformats.org/drawingml/2006/main">
              <a:srgbClr val="6F86A8"/>
            </a:solidFill>
            <a:ln xmlns:a="http://schemas.openxmlformats.org/drawingml/2006/main">
              <a:solidFill>
                <a:srgbClr val="6F86A8"/>
              </a:solidFill>
              <a:prstDash val="solid"/>
            </a:ln>
          </spPr>
          <cat>
            <strRef>
              <f>'Executive Overview'!$K$30:$K$34</f>
              <strCache>
                <ptCount val="5"/>
                <pt idx="0">
                  <v>Lighting</v>
                </pt>
                <pt idx="1">
                  <v>Textiles</v>
                </pt>
                <pt idx="2">
                  <v>Furniture</v>
                </pt>
                <pt idx="3">
                  <v>Kitchen &amp; Dining</v>
                </pt>
                <pt idx="4">
                  <v>Decor &amp; Rugs</v>
                </pt>
              </strCache>
            </strRef>
          </cat>
          <val>
            <numRef>
              <f>'Executive Overview'!$N$30:$N$34</f>
              <numCache>
                <formatCode>General</formatCode>
                <ptCount val="5"/>
                <pt idx="0">
                  <v>290598.67</v>
                </pt>
                <pt idx="1">
                  <v>569197.76</v>
                </pt>
                <pt idx="2">
                  <v>538680.75</v>
                </pt>
                <pt idx="3">
                  <v>460752.45</v>
                </pt>
                <pt idx="4">
                  <v>397209.04</v>
                </pt>
              </numCache>
            </numRef>
          </val>
        </ser>
        <dLbls>
          <txPr>
            <a:bodyPr xmlns:a="http://schemas.openxmlformats.org/drawingml/2006/main"/>
            <a:p xmlns:a="http://schemas.openxmlformats.org/drawingml/2006/main">
              <a:pPr>
                <a:defRPr sz="900" b="1">
                  <a:solidFill>
                    <a:srgbClr val="FFFFFF"/>
                  </a:solidFill>
                  <a:latin typeface="Arial"/>
                </a:defRPr>
              </a:pPr>
              <a:r>
                <a:t/>
              </a:r>
              <a:endParaRPr sz="900" b="1">
                <a:solidFill>
                  <a:srgbClr val="FFFFFF"/>
                </a:solidFill>
                <a:latin typeface="Arial"/>
              </a:endParaRPr>
            </a:p>
          </txPr>
          <dLblPos val="inEnd"/>
          <showLegendKey val="0"/>
          <showVal val="1"/>
          <showCatName val="0"/>
          <showSerName val="0"/>
          <showPercent val="0"/>
          <showLeaderLines val="0"/>
        </dLbls>
        <gapWidth val="50"/>
        <axId val="10"/>
        <axId val="100"/>
      </barChart>
      <catAx>
        <axId val="10"/>
        <scaling>
          <orientation val="maxMin"/>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sz="1100" b="1">
                <a:solidFill>
                  <a:srgbClr val="1F2A44"/>
                </a:solidFill>
                <a:latin typeface="Arial"/>
              </a:defRPr>
            </a:pPr>
            <a:r>
              <a:rPr sz="1100" b="1">
                <a:solidFill>
                  <a:srgbClr val="1F2A44"/>
                </a:solidFill>
                <a:latin typeface="Arial"/>
              </a:rPr>
              <a:t>純売上高、1月～9月：FY2026対FY2025（USD）</a:t>
            </a:r>
          </a:p>
        </rich>
      </tx>
      <overlay val="0"/>
    </title>
    <plotArea>
      <barChart>
        <barDir val="bar"/>
        <grouping val="clustered"/>
        <ser>
          <idx val="0"/>
          <order val="0"/>
          <tx>
            <strRef>
              <f>'Regional Markets'!K7</f>
              <strCache>
                <ptCount val="1"/>
                <pt idx="0">
                  <v>FY2025 Jan–Sep revenue (USD)</v>
                </pt>
              </strCache>
            </strRef>
          </tx>
          <spPr>
            <a:solidFill xmlns:a="http://schemas.openxmlformats.org/drawingml/2006/main">
              <a:srgbClr val="C9BBA6"/>
            </a:solidFill>
            <a:ln xmlns:a="http://schemas.openxmlformats.org/drawingml/2006/main">
              <a:solidFill>
                <a:srgbClr val="C9BBA6"/>
              </a:solidFill>
              <a:prstDash val="solid"/>
            </a:ln>
          </spPr>
          <cat>
            <strRef>
              <f>'Regional Markets'!$B$8:$B$15</f>
              <strCache>
                <ptCount val="8"/>
                <pt idx="0">
                  <v>United States</v>
                </pt>
                <pt idx="1">
                  <v>Canada</v>
                </pt>
                <pt idx="2">
                  <v>United Kingdom</v>
                </pt>
                <pt idx="3">
                  <v>Germany</v>
                </pt>
                <pt idx="4">
                  <v>France</v>
                </pt>
                <pt idx="5">
                  <v>Sweden</v>
                </pt>
                <pt idx="6">
                  <v>Japan</v>
                </pt>
                <pt idx="7">
                  <v>Australia</v>
                </pt>
              </strCache>
            </strRef>
          </cat>
          <val>
            <numRef>
              <f>'Regional Markets'!$K$8:$K$15</f>
              <numCache>
                <formatCode>General</formatCode>
                <ptCount val="8"/>
                <pt idx="0">
                  <v>431000</v>
                </pt>
                <pt idx="1">
                  <v>213000</v>
                </pt>
                <pt idx="2">
                  <v>192000</v>
                </pt>
                <pt idx="3">
                  <v>305000</v>
                </pt>
                <pt idx="4">
                  <v>217000</v>
                </pt>
                <pt idx="5">
                  <v>235000</v>
                </pt>
                <pt idx="6">
                  <v>201000</v>
                </pt>
                <pt idx="7">
                  <v>231000</v>
                </pt>
              </numCache>
            </numRef>
          </val>
        </ser>
        <ser>
          <idx val="1"/>
          <order val="1"/>
          <tx>
            <strRef>
              <f>'Regional Markets'!I7</f>
              <strCache>
                <ptCount val="1"/>
                <pt idx="0">
                  <v>Net revenue (USD)</v>
                </pt>
              </strCache>
            </strRef>
          </tx>
          <spPr>
            <a:solidFill xmlns:a="http://schemas.openxmlformats.org/drawingml/2006/main">
              <a:srgbClr val="1F2A44"/>
            </a:solidFill>
            <a:ln xmlns:a="http://schemas.openxmlformats.org/drawingml/2006/main">
              <a:solidFill>
                <a:srgbClr val="1F2A44"/>
              </a:solidFill>
              <a:prstDash val="solid"/>
            </a:ln>
          </spPr>
          <cat>
            <strRef>
              <f>'Regional Markets'!$B$8:$B$15</f>
              <strCache>
                <ptCount val="8"/>
                <pt idx="0">
                  <v>United States</v>
                </pt>
                <pt idx="1">
                  <v>Canada</v>
                </pt>
                <pt idx="2">
                  <v>United Kingdom</v>
                </pt>
                <pt idx="3">
                  <v>Germany</v>
                </pt>
                <pt idx="4">
                  <v>France</v>
                </pt>
                <pt idx="5">
                  <v>Sweden</v>
                </pt>
                <pt idx="6">
                  <v>Japan</v>
                </pt>
                <pt idx="7">
                  <v>Australia</v>
                </pt>
              </strCache>
            </strRef>
          </cat>
          <val>
            <numRef>
              <f>'Regional Markets'!$I$8:$I$15</f>
              <numCache>
                <formatCode>General</formatCode>
                <ptCount val="8"/>
                <pt idx="0">
                  <v>482249.02</v>
                </pt>
                <pt idx="1">
                  <v>225759.78</v>
                </pt>
                <pt idx="2">
                  <v>184426.8</v>
                </pt>
                <pt idx="3">
                  <v>359484.57</v>
                </pt>
                <pt idx="4">
                  <v>236011.74</v>
                </pt>
                <pt idx="5">
                  <v>241858.41</v>
                </pt>
                <pt idx="6">
                  <v>263723.86</v>
                </pt>
                <pt idx="7">
                  <v>262924.49</v>
                </pt>
              </numCache>
            </numRef>
          </val>
        </ser>
        <gapWidth val="60"/>
        <overlap val="-10"/>
        <axId val="10"/>
        <axId val="100"/>
      </barChart>
      <catAx>
        <axId val="10"/>
        <scaling>
          <orientation val="maxMin"/>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quot;K&quot;"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sz="1100" b="1">
                <a:solidFill>
                  <a:srgbClr val="1F2A44"/>
                </a:solidFill>
                <a:latin typeface="Arial"/>
              </a:defRPr>
            </a:pPr>
            <a:r>
              <a:rPr sz="1100" b="1">
                <a:solidFill>
                  <a:srgbClr val="1F2A44"/>
                </a:solidFill>
                <a:latin typeface="Arial"/>
              </a:rPr>
              <a:t>SKU別の予測在庫カバー日数と再発注トリガー（上限240日）</a:t>
            </a:r>
          </a:p>
        </rich>
      </tx>
      <overlay val="0"/>
    </title>
    <plotArea>
      <barChart>
        <barDir val="col"/>
        <grouping val="clustered"/>
        <ser>
          <idx val="0"/>
          <order val="0"/>
          <tx>
            <strRef>
              <f>'Inventory &amp; Replenishment'!W12</f>
              <strCache>
                <ptCount val="1"/>
                <pt idx="0">
                  <v>Days of cover</v>
                </pt>
              </strCache>
            </strRef>
          </tx>
          <spPr>
            <a:solidFill xmlns:a="http://schemas.openxmlformats.org/drawingml/2006/main">
              <a:srgbClr val="7C93B5"/>
            </a:solidFill>
            <a:ln xmlns:a="http://schemas.openxmlformats.org/drawingml/2006/main">
              <a:solidFill>
                <a:srgbClr val="7C93B5"/>
              </a:solidFill>
              <a:prstDash val="solid"/>
            </a:ln>
          </spPr>
          <cat>
            <strRef>
              <f>'Inventory &amp; Replenishment'!$V$13:$V$28</f>
              <strCache>
                <ptCount val="16"/>
                <pt idx="0">
                  <v>LL-LGT-101</v>
                </pt>
                <pt idx="1">
                  <v>LL-LGT-104</v>
                </pt>
                <pt idx="2">
                  <v>LL-LGT-112</v>
                </pt>
                <pt idx="3">
                  <v>LL-TXT-201</v>
                </pt>
                <pt idx="4">
                  <v>LL-TXT-205</v>
                </pt>
                <pt idx="5">
                  <v>LL-TXT-210</v>
                </pt>
                <pt idx="6">
                  <v>LL-TXT-214</v>
                </pt>
                <pt idx="7">
                  <v>LL-FUR-301</v>
                </pt>
                <pt idx="8">
                  <v>LL-FUR-305</v>
                </pt>
                <pt idx="9">
                  <v>LL-FUR-309</v>
                </pt>
                <pt idx="10">
                  <v>LL-FUR-316</v>
                </pt>
                <pt idx="11">
                  <v>LL-KIT-401</v>
                </pt>
                <pt idx="12">
                  <v>LL-KIT-406</v>
                </pt>
                <pt idx="13">
                  <v>LL-KIT-410</v>
                </pt>
                <pt idx="14">
                  <v>LL-DEC-501</v>
                </pt>
                <pt idx="15">
                  <v>LL-DEC-507</v>
                </pt>
              </strCache>
            </strRef>
          </cat>
          <val>
            <numRef>
              <f>'Inventory &amp; Replenishment'!$W$13:$W$28</f>
              <numCache>
                <formatCode>General</formatCode>
                <ptCount val="16"/>
                <pt idx="0">
                  <v>168.75</v>
                </pt>
                <pt idx="1">
                  <v>94.3614595210946</v>
                </pt>
                <pt idx="2">
                  <v>175.909090909091</v>
                </pt>
                <pt idx="3">
                  <v>46.7307692307692</v>
                </pt>
                <pt idx="4">
                  <v>111.757532281205</v>
                </pt>
                <pt idx="5">
                  <v>50.3694730466384</v>
                </pt>
                <pt idx="6">
                  <v>94.6911196911197</v>
                </pt>
                <pt idx="7">
                  <v>-12.588424437299</v>
                </pt>
                <pt idx="8">
                  <v>144.642857142857</v>
                </pt>
                <pt idx="9">
                  <v>186.923076923077</v>
                </pt>
                <pt idx="10">
                  <v>163.125</v>
                </pt>
                <pt idx="11">
                  <v>50.1428571428571</v>
                </pt>
                <pt idx="12">
                  <v>161.031390134529</v>
                </pt>
                <pt idx="13">
                  <v>76.9029850746269</v>
                </pt>
                <pt idx="14">
                  <v>62.827564894932</v>
                </pt>
                <pt idx="15">
                  <v>163.655660377359</v>
                </pt>
              </numCache>
            </numRef>
          </val>
        </ser>
        <gapWidth val="55"/>
        <axId val="10"/>
        <axId val="100"/>
      </barChart>
      <lineChart>
        <grouping val="standard"/>
        <ser>
          <idx val="1"/>
          <order val="1"/>
          <tx>
            <strRef>
              <f>'Inventory &amp; Replenishment'!X12</f>
              <strCache>
                <ptCount val="1"/>
                <pt idx="0">
                  <v>Reorder trigger (days)</v>
                </pt>
              </strCache>
            </strRef>
          </tx>
          <spPr>
            <a:ln xmlns:a="http://schemas.openxmlformats.org/drawingml/2006/main">
              <a:noFill/>
              <a:prstDash val="solid"/>
            </a:ln>
          </spPr>
          <marker>
            <symbol val="dash"/>
            <size val="14"/>
            <spPr>
              <a:solidFill xmlns:a="http://schemas.openxmlformats.org/drawingml/2006/main">
                <a:srgbClr val="C2603A"/>
              </a:solidFill>
              <a:ln xmlns:a="http://schemas.openxmlformats.org/drawingml/2006/main">
                <a:solidFill>
                  <a:srgbClr val="C2603A"/>
                </a:solidFill>
                <a:prstDash val="solid"/>
              </a:ln>
            </spPr>
          </marker>
          <val>
            <numRef>
              <f>'Inventory &amp; Replenishment'!$X$13:$X$28</f>
              <numCache>
                <formatCode>General</formatCode>
                <ptCount val="16"/>
                <pt idx="0">
                  <v>77</v>
                </pt>
                <pt idx="1">
                  <v>84</v>
                </pt>
                <pt idx="2">
                  <v>91</v>
                </pt>
                <pt idx="3">
                  <v>63</v>
                </pt>
                <pt idx="4">
                  <v>56</v>
                </pt>
                <pt idx="5">
                  <v>70</v>
                </pt>
                <pt idx="6">
                  <v>59</v>
                </pt>
                <pt idx="7">
                  <v>105</v>
                </pt>
                <pt idx="8">
                  <v>126</v>
                </pt>
                <pt idx="9">
                  <v>112</v>
                </pt>
                <pt idx="10">
                  <v>98</v>
                </pt>
                <pt idx="11">
                  <v>70</v>
                </pt>
                <pt idx="12">
                  <v>77</v>
                </pt>
                <pt idx="13">
                  <v>49</v>
                </pt>
                <pt idx="14">
                  <v>56</v>
                </pt>
                <pt idx="15">
                  <v>98</v>
                </pt>
              </numCache>
            </numRef>
          </val>
          <smooth val="0"/>
        </ser>
        <axId val="10"/>
        <axId val="100"/>
      </lineChart>
      <catAx>
        <axId val="10"/>
        <scaling>
          <orientation val="minMax"/>
        </scaling>
        <delete val="0"/>
        <axPos val="l"/>
        <majorTickMark val="none"/>
        <minorTickMark val="none"/>
        <spPr>
          <a:ln xmlns:a="http://schemas.openxmlformats.org/drawingml/2006/main">
            <a:solidFill>
              <a:srgbClr val="DDD6CB"/>
            </a:solidFill>
            <a:prstDash val="solid"/>
          </a:ln>
        </spPr>
        <txPr>
          <a:bodyPr xmlns:a="http://schemas.openxmlformats.org/drawingml/2006/main"/>
          <a:p xmlns:a="http://schemas.openxmlformats.org/drawingml/2006/main">
            <a:pPr>
              <a:defRPr sz="800" b="0">
                <a:solidFill>
                  <a:srgbClr val="6B645C"/>
                </a:solidFill>
                <a:latin typeface="Arial"/>
              </a:defRPr>
            </a:pPr>
            <a:r>
              <a:t/>
            </a:r>
            <a:endParaRPr sz="800" b="0">
              <a:solidFill>
                <a:srgbClr val="6B645C"/>
              </a:solidFill>
              <a:latin typeface="Arial"/>
            </a:endParaRPr>
          </a:p>
        </txPr>
        <crossAx val="100"/>
        <lblOffset val="100"/>
      </catAx>
      <valAx>
        <axId val="100"/>
        <scaling>
          <orientation val="minMax"/>
        </scaling>
        <delete val="0"/>
        <axPos val="l"/>
        <majorGridlines>
          <spPr>
            <a:ln xmlns:a="http://schemas.openxmlformats.org/drawingml/2006/main">
              <a:solidFill>
                <a:srgbClr val="ECE7E0"/>
              </a:solidFill>
              <a:prstDash val="solid"/>
            </a:ln>
          </spPr>
        </majorGridlines>
        <numFmt formatCode="0" sourceLinked="0"/>
        <majorTickMark val="none"/>
        <minorTickMark val="none"/>
        <spPr>
          <a:ln xmlns:a="http://schemas.openxmlformats.org/drawingml/2006/main">
            <a:noFill/>
            <a:prstDash val="solid"/>
          </a:ln>
        </spPr>
        <txPr>
          <a:bodyPr xmlns:a="http://schemas.openxmlformats.org/drawingml/2006/main"/>
          <a:p xmlns:a="http://schemas.openxmlformats.org/drawingml/2006/main">
            <a:pPr>
              <a:defRPr sz="900" b="0">
                <a:solidFill>
                  <a:srgbClr val="6B645C"/>
                </a:solidFill>
                <a:latin typeface="Arial"/>
              </a:defRPr>
            </a:pPr>
            <a:r>
              <a:t/>
            </a:r>
            <a:endParaRPr sz="900" b="0">
              <a:solidFill>
                <a:srgbClr val="6B645C"/>
              </a:solidFill>
              <a:latin typeface="Arial"/>
            </a:endParaRPr>
          </a:p>
        </txPr>
        <crossAx val="10"/>
      </valAx>
    </plotArea>
    <legend>
      <legendPos val="b"/>
      <txPr>
        <a:bodyPr xmlns:a="http://schemas.openxmlformats.org/drawingml/2006/main"/>
        <a:p xmlns:a="http://schemas.openxmlformats.org/drawingml/2006/main">
          <a:pPr>
            <a:defRPr sz="900" b="0">
              <a:solidFill>
                <a:srgbClr val="2E2A26"/>
              </a:solidFill>
              <a:latin typeface="Arial"/>
            </a:defRPr>
          </a:pPr>
          <a:r>
            <a:t/>
          </a:r>
          <a:endParaRPr sz="900" b="0">
            <a:solidFill>
              <a:srgbClr val="2E2A26"/>
            </a:solidFill>
            <a:latin typeface="Arial"/>
          </a:endParaRPr>
        </a:p>
      </txP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_rels/drawing2.xml.rels><Relationships xmlns="http://schemas.openxmlformats.org/package/2006/relationships"><Relationship Type="http://schemas.openxmlformats.org/officeDocument/2006/relationships/chart" Target="/xl/charts/chart3.xml" Id="rId1"/></Relationships>
</file>

<file path=xl/drawings/_rels/drawing3.xml.rels><Relationships xmlns="http://schemas.openxmlformats.org/package/2006/relationships"><Relationship Type="http://schemas.openxmlformats.org/officeDocument/2006/relationships/chart" Target="/xl/charts/chart4.xml" Id="rId1"/></Relationships>
</file>

<file path=xl/drawings/drawing1.xml><?xml version="1.0" encoding="utf-8"?>
<wsDr xmlns="http://schemas.openxmlformats.org/drawingml/2006/spreadsheetDrawing">
  <twoCellAnchor editAs="oneCell">
    <from>
      <col>1</col>
      <colOff>0</colOff>
      <row>10</row>
      <rowOff>0</rowOff>
    </from>
    <to>
      <col>9</col>
      <colOff>0</colOff>
      <row>26</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twoCellAnchor editAs="oneCell">
    <from>
      <col>10</col>
      <colOff>0</colOff>
      <row>10</row>
      <rowOff>0</rowOff>
    </from>
    <to>
      <col>15</col>
      <colOff>0</colOff>
      <row>26</row>
      <rowOff>0</rowOff>
    </to>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twoCellAnchor>
</wsDr>
</file>

<file path=xl/drawings/drawing2.xml><?xml version="1.0" encoding="utf-8"?>
<wsDr xmlns="http://schemas.openxmlformats.org/drawingml/2006/spreadsheetDrawing">
  <twoCellAnchor editAs="oneCell">
    <from>
      <col>1</col>
      <colOff>0</colOff>
      <row>19</row>
      <rowOff>0</rowOff>
    </from>
    <to>
      <col>8</col>
      <colOff>0</colOff>
      <row>37</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drawings/drawing3.xml><?xml version="1.0" encoding="utf-8"?>
<wsDr xmlns="http://schemas.openxmlformats.org/drawingml/2006/spreadsheetDrawing">
  <twoCellAnchor editAs="oneCell">
    <from>
      <col>1</col>
      <colOff>0</colOff>
      <row>31</row>
      <rowOff>0</rowOff>
    </from>
    <to>
      <col>12</col>
      <colOff>0</colOff>
      <row>49</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5.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001F2A44"/>
    <outlinePr summaryBelow="true" summaryRight="true"/>
    <pageSetUpPr fitToPage="true"/>
  </sheetPr>
  <dimension ref="A1:P56"/>
  <sheetViews>
    <sheetView showGridLines="false" zoomScale="100" workbookViewId="0">
      <selection activeCell="A1" sqref="A1"/>
    </sheetView>
  </sheetViews>
  <sheetFormatPr baseColWidth="8" defaultRowHeight="15"/>
  <cols>
    <col customWidth="true" max="1" min="1" width="2.5"/>
    <col customWidth="true" max="3" min="2" width="13.5"/>
    <col customWidth="true" max="4" min="4" width="2.5"/>
    <col customWidth="true" max="6" min="5" width="13.5"/>
    <col customWidth="true" max="7" min="7" width="2.5"/>
    <col customWidth="true" max="9" min="8" width="13.5"/>
    <col customWidth="true" max="10" min="10" width="2.5"/>
    <col customWidth="true" max="12" min="11" width="13.5"/>
    <col customWidth="true" max="13" min="13" width="2.5"/>
    <col customWidth="true" max="15" min="14" width="13.5"/>
    <col customWidth="true" max="16" min="16" width="2.5"/>
  </cols>
  <sheetData>
    <row r="1" ht="8" customHeight="true">
      <c r="A1" s="1" t="n"/>
      <c r="B1" s="1" t="n"/>
      <c r="C1" s="1" t="n"/>
      <c r="D1" s="1" t="n"/>
      <c r="E1" s="1" t="n"/>
      <c r="F1" s="1" t="n"/>
      <c r="G1" s="1" t="n"/>
      <c r="H1" s="1" t="n"/>
      <c r="I1" s="1" t="n"/>
      <c r="J1" s="1" t="n"/>
      <c r="K1" s="1" t="n"/>
      <c r="L1" s="1" t="n"/>
      <c r="M1" s="1" t="n"/>
      <c r="N1" s="1" t="n"/>
      <c r="O1" s="1" t="n"/>
      <c r="P1" s="1" t="n"/>
    </row>
    <row r="2" ht="24" customHeight="true">
      <c r="B2" s="2" t="inlineStr">
        <is>
          <t>LINDEN &amp; LOOM</t>
        </is>
      </c>
      <c r="K2" s="3" t="s">
        <v>0</v>
      </c>
    </row>
    <row r="3" ht="40" customHeight="true">
      <c r="B3" s="4" t="s">
        <v>1</v>
      </c>
    </row>
    <row r="4" ht="22" customHeight="true">
      <c r="B4" s="5" t="s">
        <v>2</v>
      </c>
      <c r="K4" s="6" t="s">
        <v>3</v>
      </c>
    </row>
    <row r="5" ht="12" customHeight="true"/>
    <row r="6" ht="22" customHeight="true">
      <c r="B6" s="7" t="s">
        <v>4</v>
      </c>
      <c r="C6" s="8" t="n"/>
      <c r="E6" s="9" t="s">
        <v>5</v>
      </c>
      <c r="F6" s="10" t="n"/>
      <c r="H6" s="9" t="s">
        <v>6</v>
      </c>
      <c r="I6" s="10" t="n"/>
      <c r="K6" s="9" t="s">
        <v>7</v>
      </c>
      <c r="L6" s="10" t="n"/>
      <c r="N6" s="9" t="s">
        <v>8</v>
      </c>
      <c r="O6" s="10" t="n"/>
    </row>
    <row r="7" ht="36" customHeight="true">
      <c r="B7" s="11">
        <f>SUMIFS('International Orders'!$O$8:$O$107,'International Orders'!$P$8:$P$107,"&lt;&gt;"&amp;'International Orders'!$P$5)</f>
        <v>2256438.67</v>
      </c>
      <c r="E7" s="12">
        <f>COUNTIFS('International Orders'!$P$8:$P$107,"&lt;&gt;"&amp;'International Orders'!$P$5)</f>
        <v>97</v>
      </c>
      <c r="H7" s="11">
        <f>IFERROR(B7/E7,0)</f>
        <v>23262.2543298969</v>
      </c>
      <c r="K7" s="13">
        <f>IFERROR(1-SUMPRODUCT(('International Orders'!$P$8:$P$107&lt;&gt;'International Orders'!$P$5)*'International Orders'!$J$8:$J$107*SUMIF('Product Catalog'!$B$7:$B$22,'International Orders'!$G$8:$G$107,'Product Catalog'!$J$7:$J$22))/B7,0)</f>
        <v>0.590011458188669</v>
      </c>
      <c r="N7" s="11">
        <f>SUMIFS('International Orders'!$O$8:$O$107,'International Orders'!$P$8:$P$107,'International Orders'!$N$5)+SUMIFS('International Orders'!$O$8:$O$107,'International Orders'!$P$8:$P$107,'International Orders'!$O$5)</f>
        <v>187342.08</v>
      </c>
    </row>
    <row r="8" ht="20" customHeight="true">
      <c r="B8" s="14">
        <f>IFERROR(B7/SUM(E30:E38)-1,0)</f>
        <v>0.0118559058295964</v>
      </c>
      <c r="C8" s="15" t="s">
        <v>9</v>
      </c>
      <c r="E8" s="16">
        <f>COUNTIF('International Orders'!$P$8:$P$107,'International Orders'!$P$5)</f>
        <v>3</v>
      </c>
      <c r="F8" s="15" t="s">
        <v>10</v>
      </c>
      <c r="H8" s="17">
        <f>IFERROR(1-B7/SUMPRODUCT(('International Orders'!$P$8:$P$107&lt;&gt;'International Orders'!$P$5)*'International Orders'!$O$8:$O$107/(1-'International Orders'!$M$8:$M$107)),0)</f>
        <v>0.0942646023446601</v>
      </c>
      <c r="I8" s="15" t="s">
        <v>11</v>
      </c>
      <c r="K8" s="18">
        <f>B7*K7</f>
        <v>1331324.67</v>
      </c>
      <c r="L8" s="15" t="s">
        <v>12</v>
      </c>
      <c r="N8" s="19">
        <f>'Inventory &amp; Replenishment'!G29</f>
        <v>1496</v>
      </c>
      <c r="O8" s="15" t="s">
        <v>13</v>
      </c>
    </row>
    <row r="9" ht="6" customHeight="true">
      <c r="B9" s="20" t="n"/>
      <c r="C9" s="20" t="n"/>
      <c r="E9" s="20" t="n"/>
      <c r="F9" s="20" t="n"/>
      <c r="H9" s="20" t="n"/>
      <c r="I9" s="20" t="n"/>
      <c r="K9" s="20" t="n"/>
      <c r="L9" s="20" t="n"/>
      <c r="N9" s="20" t="n"/>
      <c r="O9" s="20" t="n"/>
    </row>
    <row r="10" ht="14" customHeight="true"/>
    <row r="11" ht="18" customHeight="true"/>
    <row r="12" ht="18" customHeight="true"/>
    <row r="13" ht="18" customHeight="true"/>
    <row r="14" ht="18" customHeight="true"/>
    <row r="15" ht="18" customHeight="true"/>
    <row r="16" ht="18" customHeight="true"/>
    <row r="17" ht="18" customHeight="true"/>
    <row r="18" ht="18" customHeight="true"/>
    <row r="19" ht="18" customHeight="true"/>
    <row r="20" ht="18" customHeight="true"/>
    <row r="21" ht="18" customHeight="true"/>
    <row r="22" ht="18" customHeight="true"/>
    <row r="23" ht="18" customHeight="true"/>
    <row r="24" ht="18" customHeight="true"/>
    <row r="25" ht="18" customHeight="true"/>
    <row r="26" ht="18" customHeight="true"/>
    <row r="27" ht="14" customHeight="true"/>
    <row r="28" ht="24" customHeight="true">
      <c r="B28" s="21" t="s">
        <v>14</v>
      </c>
      <c r="C28" s="22" t="n"/>
      <c r="D28" s="22" t="n"/>
      <c r="E28" s="22" t="n"/>
      <c r="F28" s="22" t="n"/>
      <c r="G28" s="22" t="n"/>
      <c r="H28" s="22" t="n"/>
      <c r="I28" s="22" t="n"/>
      <c r="K28" s="21" t="s">
        <v>15</v>
      </c>
      <c r="L28" s="22" t="n"/>
      <c r="M28" s="22" t="n"/>
      <c r="N28" s="22" t="n"/>
      <c r="O28" s="22" t="n"/>
    </row>
    <row r="29" ht="30" customHeight="true">
      <c r="B29" s="23" t="s">
        <v>16</v>
      </c>
      <c r="C29" s="24" t="s">
        <v>17</v>
      </c>
      <c r="E29" s="24" t="s">
        <v>18</v>
      </c>
      <c r="F29" s="24" t="s">
        <v>19</v>
      </c>
      <c r="H29" s="24" t="s">
        <v>5</v>
      </c>
      <c r="I29" s="24" t="s">
        <v>20</v>
      </c>
      <c r="K29" s="23" t="s">
        <v>21</v>
      </c>
      <c r="N29" s="24" t="s">
        <v>17</v>
      </c>
      <c r="O29" s="24" t="s">
        <v>22</v>
      </c>
    </row>
    <row r="30" ht="19" customHeight="true">
      <c r="B30" s="25" t="n">
        <v>46023</v>
      </c>
      <c r="C30" s="26">
        <f>SUMIFS('International Orders'!$O$8:$O$107,'International Orders'!$C$8:$C$107,"&gt;="&amp;$B30,'International Orders'!$C$8:$C$107,"&lt;="&amp;EOMONTH($B30,0),'International Orders'!$P$8:$P$107,"&lt;&gt;"&amp;'International Orders'!$P$5)</f>
        <v>227340.64</v>
      </c>
      <c r="E30" s="27" t="n">
        <v>220000</v>
      </c>
      <c r="F30" s="28">
        <f>IFERROR(C30/E30-1,0)</f>
        <v>0.0333665454545453</v>
      </c>
      <c r="H30" s="29">
        <f>COUNTIFS('International Orders'!$C$8:$C$107,"&gt;="&amp;$B30,'International Orders'!$C$8:$C$107,"&lt;="&amp;EOMONTH($B30,0),'International Orders'!$P$8:$P$107,"&lt;&gt;"&amp;'International Orders'!$P$5)</f>
        <v>8</v>
      </c>
      <c r="I30" s="29">
        <f>SUMIFS('International Orders'!$J$8:$J$107,'International Orders'!$C$8:$C$107,"&gt;="&amp;$B30,'International Orders'!$C$8:$C$107,"&lt;="&amp;EOMONTH($B30,0),'International Orders'!$P$8:$P$107,"&lt;&gt;"&amp;'International Orders'!$P$5)</f>
        <v>3964</v>
      </c>
      <c r="K30" s="30" t="str">
        <f>'Product Catalog'!$D$7</f>
        <v>Lighting</v>
      </c>
      <c r="L30" s="31" t="n"/>
      <c r="N30" s="26">
        <f>SUMIFS('International Orders'!$O$8:$O$107,'International Orders'!$I$8:$I$107,K30,'International Orders'!$P$8:$P$107,"&lt;&gt;"&amp;'International Orders'!$P$5)</f>
        <v>290598.67</v>
      </c>
      <c r="O30" s="32">
        <f>IFERROR(N30/$N$35,0)</f>
        <v>0.128786425203394</v>
      </c>
    </row>
    <row r="31" ht="19" customHeight="true">
      <c r="B31" s="25" t="n">
        <v>46054</v>
      </c>
      <c r="C31" s="26">
        <f>SUMIFS('International Orders'!$O$8:$O$107,'International Orders'!$C$8:$C$107,"&gt;="&amp;$B31,'International Orders'!$C$8:$C$107,"&lt;="&amp;EOMONTH($B31,0),'International Orders'!$P$8:$P$107,"&lt;&gt;"&amp;'International Orders'!$P$5)</f>
        <v>245868.29</v>
      </c>
      <c r="E31" s="27" t="n">
        <v>250000</v>
      </c>
      <c r="F31" s="28">
        <f>IFERROR(C31/E31-1,0)</f>
        <v>-0.0165268399999999</v>
      </c>
      <c r="H31" s="29">
        <f>COUNTIFS('International Orders'!$C$8:$C$107,"&gt;="&amp;$B31,'International Orders'!$C$8:$C$107,"&lt;="&amp;EOMONTH($B31,0),'International Orders'!$P$8:$P$107,"&lt;&gt;"&amp;'International Orders'!$P$5)</f>
        <v>8</v>
      </c>
      <c r="I31" s="29">
        <f>SUMIFS('International Orders'!$J$8:$J$107,'International Orders'!$C$8:$C$107,"&gt;="&amp;$B31,'International Orders'!$C$8:$C$107,"&lt;="&amp;EOMONTH($B31,0),'International Orders'!$P$8:$P$107,"&lt;&gt;"&amp;'International Orders'!$P$5)</f>
        <v>1594</v>
      </c>
      <c r="K31" s="30" t="str">
        <f>'Product Catalog'!$D$10</f>
        <v>Textiles</v>
      </c>
      <c r="L31" s="31" t="n"/>
      <c r="N31" s="26">
        <f>SUMIFS('International Orders'!$O$8:$O$107,'International Orders'!$I$8:$I$107,K31,'International Orders'!$P$8:$P$107,"&lt;&gt;"&amp;'International Orders'!$P$5)</f>
        <v>569197.76</v>
      </c>
      <c r="O31" s="32">
        <f>IFERROR(N31/$N$35,0)</f>
        <v>0.252254921690382</v>
      </c>
    </row>
    <row r="32" ht="19" customHeight="true">
      <c r="B32" s="25" t="n">
        <v>46082</v>
      </c>
      <c r="C32" s="26">
        <f>SUMIFS('International Orders'!$O$8:$O$107,'International Orders'!$C$8:$C$107,"&gt;="&amp;$B32,'International Orders'!$C$8:$C$107,"&lt;="&amp;EOMONTH($B32,0),'International Orders'!$P$8:$P$107,"&lt;&gt;"&amp;'International Orders'!$P$5)</f>
        <v>202352.71</v>
      </c>
      <c r="E32" s="27" t="n">
        <v>210000</v>
      </c>
      <c r="F32" s="28">
        <f>IFERROR(C32/E32-1,0)</f>
        <v>-0.0364156666666667</v>
      </c>
      <c r="H32" s="29">
        <f>COUNTIFS('International Orders'!$C$8:$C$107,"&gt;="&amp;$B32,'International Orders'!$C$8:$C$107,"&lt;="&amp;EOMONTH($B32,0),'International Orders'!$P$8:$P$107,"&lt;&gt;"&amp;'International Orders'!$P$5)</f>
        <v>10</v>
      </c>
      <c r="I32" s="29">
        <f>SUMIFS('International Orders'!$J$8:$J$107,'International Orders'!$C$8:$C$107,"&gt;="&amp;$B32,'International Orders'!$C$8:$C$107,"&lt;="&amp;EOMONTH($B32,0),'International Orders'!$P$8:$P$107,"&lt;&gt;"&amp;'International Orders'!$P$5)</f>
        <v>2546</v>
      </c>
      <c r="K32" s="30" t="str">
        <f>'Product Catalog'!$D$14</f>
        <v>Furniture</v>
      </c>
      <c r="L32" s="31" t="n"/>
      <c r="N32" s="26">
        <f>SUMIFS('International Orders'!$O$8:$O$107,'International Orders'!$I$8:$I$107,K32,'International Orders'!$P$8:$P$107,"&lt;&gt;"&amp;'International Orders'!$P$5)</f>
        <v>538680.75</v>
      </c>
      <c r="O32" s="32">
        <f>IFERROR(N32/$N$35,0)</f>
        <v>0.238730508017752</v>
      </c>
    </row>
    <row r="33" ht="19" customHeight="true">
      <c r="B33" s="25" t="n">
        <v>46113</v>
      </c>
      <c r="C33" s="26">
        <f>SUMIFS('International Orders'!$O$8:$O$107,'International Orders'!$C$8:$C$107,"&gt;="&amp;$B33,'International Orders'!$C$8:$C$107,"&lt;="&amp;EOMONTH($B33,0),'International Orders'!$P$8:$P$107,"&lt;&gt;"&amp;'International Orders'!$P$5)</f>
        <v>213488.04</v>
      </c>
      <c r="E33" s="27" t="n">
        <v>210000</v>
      </c>
      <c r="F33" s="28">
        <f>IFERROR(C33/E33-1,0)</f>
        <v>0.0166097142857142</v>
      </c>
      <c r="H33" s="29">
        <f>COUNTIFS('International Orders'!$C$8:$C$107,"&gt;="&amp;$B33,'International Orders'!$C$8:$C$107,"&lt;="&amp;EOMONTH($B33,0),'International Orders'!$P$8:$P$107,"&lt;&gt;"&amp;'International Orders'!$P$5)</f>
        <v>10</v>
      </c>
      <c r="I33" s="29">
        <f>SUMIFS('International Orders'!$J$8:$J$107,'International Orders'!$C$8:$C$107,"&gt;="&amp;$B33,'International Orders'!$C$8:$C$107,"&lt;="&amp;EOMONTH($B33,0),'International Orders'!$P$8:$P$107,"&lt;&gt;"&amp;'International Orders'!$P$5)</f>
        <v>1172</v>
      </c>
      <c r="K33" s="30" t="str">
        <f>'Product Catalog'!$D$18</f>
        <v>Kitchen &amp; Dining</v>
      </c>
      <c r="L33" s="31" t="n"/>
      <c r="N33" s="26">
        <f>SUMIFS('International Orders'!$O$8:$O$107,'International Orders'!$I$8:$I$107,K33,'International Orders'!$P$8:$P$107,"&lt;&gt;"&amp;'International Orders'!$P$5)</f>
        <v>460752.45</v>
      </c>
      <c r="O33" s="32">
        <f>IFERROR(N33/$N$35,0)</f>
        <v>0.204194537226221</v>
      </c>
    </row>
    <row r="34" ht="19" customHeight="true">
      <c r="B34" s="25" t="n">
        <v>46143</v>
      </c>
      <c r="C34" s="26">
        <f>SUMIFS('International Orders'!$O$8:$O$107,'International Orders'!$C$8:$C$107,"&gt;="&amp;$B34,'International Orders'!$C$8:$C$107,"&lt;="&amp;EOMONTH($B34,0),'International Orders'!$P$8:$P$107,"&lt;&gt;"&amp;'International Orders'!$P$5)</f>
        <v>257526.76</v>
      </c>
      <c r="E34" s="27" t="n">
        <v>245000</v>
      </c>
      <c r="F34" s="28">
        <f>IFERROR(C34/E34-1,0)</f>
        <v>0.0511296326530613</v>
      </c>
      <c r="H34" s="29">
        <f>COUNTIFS('International Orders'!$C$8:$C$107,"&gt;="&amp;$B34,'International Orders'!$C$8:$C$107,"&lt;="&amp;EOMONTH($B34,0),'International Orders'!$P$8:$P$107,"&lt;&gt;"&amp;'International Orders'!$P$5)</f>
        <v>10</v>
      </c>
      <c r="I34" s="29">
        <f>SUMIFS('International Orders'!$J$8:$J$107,'International Orders'!$C$8:$C$107,"&gt;="&amp;$B34,'International Orders'!$C$8:$C$107,"&lt;="&amp;EOMONTH($B34,0),'International Orders'!$P$8:$P$107,"&lt;&gt;"&amp;'International Orders'!$P$5)</f>
        <v>3032</v>
      </c>
      <c r="K34" s="30" t="str">
        <f>'Product Catalog'!$D$21</f>
        <v>Decor &amp; Rugs</v>
      </c>
      <c r="L34" s="31" t="n"/>
      <c r="N34" s="26">
        <f>SUMIFS('International Orders'!$O$8:$O$107,'International Orders'!$I$8:$I$107,K34,'International Orders'!$P$8:$P$107,"&lt;&gt;"&amp;'International Orders'!$P$5)</f>
        <v>397209.04</v>
      </c>
      <c r="O34" s="32">
        <f>IFERROR(N34/$N$35,0)</f>
        <v>0.176033607862251</v>
      </c>
    </row>
    <row r="35" ht="19" customHeight="true">
      <c r="B35" s="25" t="n">
        <v>46174</v>
      </c>
      <c r="C35" s="26">
        <f>SUMIFS('International Orders'!$O$8:$O$107,'International Orders'!$C$8:$C$107,"&gt;="&amp;$B35,'International Orders'!$C$8:$C$107,"&lt;="&amp;EOMONTH($B35,0),'International Orders'!$P$8:$P$107,"&lt;&gt;"&amp;'International Orders'!$P$5)</f>
        <v>251986.98</v>
      </c>
      <c r="E35" s="27" t="n">
        <v>255000</v>
      </c>
      <c r="F35" s="28">
        <f>IFERROR(C35/E35-1,0)</f>
        <v>-0.0118157647058823</v>
      </c>
      <c r="H35" s="29">
        <f>COUNTIFS('International Orders'!$C$8:$C$107,"&gt;="&amp;$B35,'International Orders'!$C$8:$C$107,"&lt;="&amp;EOMONTH($B35,0),'International Orders'!$P$8:$P$107,"&lt;&gt;"&amp;'International Orders'!$P$5)</f>
        <v>10</v>
      </c>
      <c r="I35" s="29">
        <f>SUMIFS('International Orders'!$J$8:$J$107,'International Orders'!$C$8:$C$107,"&gt;="&amp;$B35,'International Orders'!$C$8:$C$107,"&lt;="&amp;EOMONTH($B35,0),'International Orders'!$P$8:$P$107,"&lt;&gt;"&amp;'International Orders'!$P$5)</f>
        <v>1720</v>
      </c>
      <c r="K35" s="33" t="s">
        <v>23</v>
      </c>
      <c r="L35" s="34" t="n"/>
      <c r="N35" s="35">
        <f>SUM(N30:N34)</f>
        <v>2256438.67</v>
      </c>
      <c r="O35" s="36">
        <f>SUM(O30:O34)</f>
        <v>1</v>
      </c>
    </row>
    <row r="36" ht="19" customHeight="true">
      <c r="B36" s="25" t="n">
        <v>46204</v>
      </c>
      <c r="C36" s="26">
        <f>SUMIFS('International Orders'!$O$8:$O$107,'International Orders'!$C$8:$C$107,"&gt;="&amp;$B36,'International Orders'!$C$8:$C$107,"&lt;="&amp;EOMONTH($B36,0),'International Orders'!$P$8:$P$107,"&lt;&gt;"&amp;'International Orders'!$P$5)</f>
        <v>275649.48</v>
      </c>
      <c r="E36" s="27" t="n">
        <v>265000</v>
      </c>
      <c r="F36" s="28">
        <f>IFERROR(C36/E36-1,0)</f>
        <v>0.0401867169811321</v>
      </c>
      <c r="H36" s="29">
        <f>COUNTIFS('International Orders'!$C$8:$C$107,"&gt;="&amp;$B36,'International Orders'!$C$8:$C$107,"&lt;="&amp;EOMONTH($B36,0),'International Orders'!$P$8:$P$107,"&lt;&gt;"&amp;'International Orders'!$P$5)</f>
        <v>11</v>
      </c>
      <c r="I36" s="29">
        <f>SUMIFS('International Orders'!$J$8:$J$107,'International Orders'!$C$8:$C$107,"&gt;="&amp;$B36,'International Orders'!$C$8:$C$107,"&lt;="&amp;EOMONTH($B36,0),'International Orders'!$P$8:$P$107,"&lt;&gt;"&amp;'International Orders'!$P$5)</f>
        <v>1686</v>
      </c>
    </row>
    <row r="37" ht="19" customHeight="true">
      <c r="B37" s="25" t="n">
        <v>46235</v>
      </c>
      <c r="C37" s="26">
        <f>SUMIFS('International Orders'!$O$8:$O$107,'International Orders'!$C$8:$C$107,"&gt;="&amp;$B37,'International Orders'!$C$8:$C$107,"&lt;="&amp;EOMONTH($B37,0),'International Orders'!$P$8:$P$107,"&lt;&gt;"&amp;'International Orders'!$P$5)</f>
        <v>316746.08</v>
      </c>
      <c r="E37" s="27" t="n">
        <v>295000</v>
      </c>
      <c r="F37" s="28">
        <f>IFERROR(C37/E37-1,0)</f>
        <v>0.0737155254237287</v>
      </c>
      <c r="H37" s="29">
        <f>COUNTIFS('International Orders'!$C$8:$C$107,"&gt;="&amp;$B37,'International Orders'!$C$8:$C$107,"&lt;="&amp;EOMONTH($B37,0),'International Orders'!$P$8:$P$107,"&lt;&gt;"&amp;'International Orders'!$P$5)</f>
        <v>14</v>
      </c>
      <c r="I37" s="29">
        <f>SUMIFS('International Orders'!$J$8:$J$107,'International Orders'!$C$8:$C$107,"&gt;="&amp;$B37,'International Orders'!$C$8:$C$107,"&lt;="&amp;EOMONTH($B37,0),'International Orders'!$P$8:$P$107,"&lt;&gt;"&amp;'International Orders'!$P$5)</f>
        <v>2120</v>
      </c>
      <c r="K37" s="37" t="s">
        <v>24</v>
      </c>
    </row>
    <row r="38" ht="19" customHeight="true">
      <c r="B38" s="25" t="n">
        <v>46266</v>
      </c>
      <c r="C38" s="26">
        <f>SUMIFS('International Orders'!$O$8:$O$107,'International Orders'!$C$8:$C$107,"&gt;="&amp;$B38,'International Orders'!$C$8:$C$107,"&lt;="&amp;EOMONTH($B38,0),'International Orders'!$P$8:$P$107,"&lt;&gt;"&amp;'International Orders'!$P$5)</f>
        <v>265479.69</v>
      </c>
      <c r="E38" s="27" t="n">
        <v>280000</v>
      </c>
      <c r="F38" s="28">
        <f>IFERROR(C38/E38-1,0)</f>
        <v>-0.05185825</v>
      </c>
      <c r="H38" s="29">
        <f>COUNTIFS('International Orders'!$C$8:$C$107,"&gt;="&amp;$B38,'International Orders'!$C$8:$C$107,"&lt;="&amp;EOMONTH($B38,0),'International Orders'!$P$8:$P$107,"&lt;&gt;"&amp;'International Orders'!$P$5)</f>
        <v>16</v>
      </c>
      <c r="I38" s="29">
        <f>SUMIFS('International Orders'!$J$8:$J$107,'International Orders'!$C$8:$C$107,"&gt;="&amp;$B38,'International Orders'!$C$8:$C$107,"&lt;="&amp;EOMONTH($B38,0),'International Orders'!$P$8:$P$107,"&lt;&gt;"&amp;'International Orders'!$P$5)</f>
        <v>2904</v>
      </c>
      <c r="K38" s="38" t="str">
        <f>INDEX('Regional Markets'!$B$8:$B$15,MATCH(MAX('Regional Markets'!$I$8:$I$15),'Regional Markets'!$I$8:$I$15,0))</f>
        <v>United States</v>
      </c>
      <c r="N38" s="39">
        <f>MAX('Regional Markets'!$I$8:$I$15)</f>
        <v>482249.02</v>
      </c>
    </row>
    <row r="39" ht="21" customHeight="true">
      <c r="B39" s="33" t="s">
        <v>25</v>
      </c>
      <c r="C39" s="35">
        <f>SUM(C30:C38)</f>
        <v>2256438.67</v>
      </c>
      <c r="E39" s="35">
        <f>SUM(E30:E38)</f>
        <v>2230000</v>
      </c>
      <c r="F39" s="40">
        <f>IFERROR(C39/E39-1,0)</f>
        <v>0.0118559058295964</v>
      </c>
      <c r="H39" s="41">
        <f>SUM(H30:H38)</f>
        <v>97</v>
      </c>
      <c r="I39" s="41">
        <f>SUM(I30:I38)</f>
        <v>20738</v>
      </c>
      <c r="K39" s="42" t="s">
        <v>26</v>
      </c>
      <c r="N39" s="43" t="str">
        <f>INDEX('Regional Markets'!$B$8:$B$15,MATCH(MAX('Regional Markets'!$L$8:$L$15),'Regional Markets'!$L$8:$L$15,0))</f>
        <v>Japan</v>
      </c>
    </row>
    <row r="40"/>
    <row r="41"/>
    <row r="42" ht="26" customHeight="true">
      <c r="B42" s="21" t="s">
        <v>27</v>
      </c>
      <c r="C42" s="22" t="n"/>
      <c r="D42" s="22" t="n"/>
      <c r="E42" s="22" t="n"/>
      <c r="F42" s="22" t="n"/>
      <c r="G42" s="22" t="n"/>
      <c r="H42" s="22" t="n"/>
      <c r="I42" s="22" t="n"/>
      <c r="K42" s="21" t="s">
        <v>28</v>
      </c>
      <c r="L42" s="22" t="n"/>
      <c r="M42" s="22" t="n"/>
      <c r="N42" s="22" t="n"/>
      <c r="O42" s="22" t="n"/>
    </row>
    <row r="43" ht="21.48" customHeight="true">
      <c r="B43" s="44" t="s">
        <v>29</v>
      </c>
      <c r="K43" s="45" t="s">
        <v>30</v>
      </c>
      <c r="L43" s="31" t="n"/>
      <c r="M43" s="31" t="n"/>
      <c r="N43" s="46">
        <f>COUNTIF('Inventory &amp; Replenishment'!S13:S28,'Inventory &amp; Replenishment'!$R$11)+COUNTIF('Inventory &amp; Replenishment'!S13:S28,'Inventory &amp; Replenishment'!$S$11)</f>
        <v>4</v>
      </c>
      <c r="O43" s="31" t="n"/>
    </row>
    <row r="44" ht="21.48" customHeight="true">
      <c r="K44" s="45" t="s">
        <v>31</v>
      </c>
      <c r="L44" s="31" t="n"/>
      <c r="M44" s="31" t="n"/>
      <c r="N44" s="47">
        <f>'Inventory &amp; Replenishment'!R29</f>
        <v>66460</v>
      </c>
      <c r="O44" s="31" t="n"/>
    </row>
    <row r="45" ht="21.48" customHeight="true">
      <c r="K45" s="45" t="s">
        <v>32</v>
      </c>
      <c r="L45" s="31" t="n"/>
      <c r="M45" s="31" t="n"/>
      <c r="N45" s="46">
        <f>COUNTIF('International Orders'!$P$8:$P$107,'International Orders'!$O$5)</f>
        <v>3</v>
      </c>
      <c r="O45" s="31" t="n"/>
    </row>
    <row r="46" ht="21.48" customHeight="true">
      <c r="K46" s="45" t="s">
        <v>33</v>
      </c>
      <c r="L46" s="31" t="n"/>
      <c r="M46" s="31" t="n"/>
      <c r="N46" s="48">
        <f>'Launch Plan'!X7</f>
        <v>0.198757763975155</v>
      </c>
      <c r="O46" s="31" t="n"/>
    </row>
    <row r="47" ht="21.48" customHeight="true"/>
    <row r="48" ht="21.48" customHeight="true">
      <c r="K48" s="37" t="s">
        <v>34</v>
      </c>
    </row>
    <row r="49" ht="21.48" customHeight="true">
      <c r="K49" s="49" t="s">
        <v>35</v>
      </c>
    </row>
    <row r="50" ht="21.48" customHeight="true"/>
    <row r="51" ht="21.48" customHeight="true"/>
    <row r="52" ht="21.48" customHeight="true"/>
    <row r="53" ht="21.48" customHeight="true"/>
    <row r="54"/>
    <row r="55" ht="26" customHeight="true">
      <c r="B55" s="50" t="s">
        <v>36</v>
      </c>
    </row>
    <row r="56" ht="18" customHeight="true">
      <c r="B56" s="51" t="s">
        <v>37</v>
      </c>
      <c r="O56" s="52">
        <f>ROUND(ABS(B7-C39)+ABS(B7-'Regional Markets'!I16)+ABS(B7-N35),2)</f>
        <v>0</v>
      </c>
    </row>
  </sheetData>
  <mergeCells count="41">
    <mergeCell ref="K30:L30"/>
    <mergeCell ref="K34:L34"/>
    <mergeCell ref="B7:C7"/>
    <mergeCell ref="N7:O7"/>
    <mergeCell ref="K44:M44"/>
    <mergeCell ref="K46:M46"/>
    <mergeCell ref="K33:L33"/>
    <mergeCell ref="K43:M43"/>
    <mergeCell ref="K49:O53"/>
    <mergeCell ref="K29:L29"/>
    <mergeCell ref="K35:L35"/>
    <mergeCell ref="N45:O45"/>
    <mergeCell ref="H6:I6"/>
    <mergeCell ref="N43:O43"/>
    <mergeCell ref="N46:O46"/>
    <mergeCell ref="K32:L32"/>
    <mergeCell ref="B42:I42"/>
    <mergeCell ref="K39:M39"/>
    <mergeCell ref="K31:L31"/>
    <mergeCell ref="N39:O39"/>
    <mergeCell ref="K38:M38"/>
    <mergeCell ref="E6:F6"/>
    <mergeCell ref="N44:O44"/>
    <mergeCell ref="H7:I7"/>
    <mergeCell ref="N38:O38"/>
    <mergeCell ref="B43:I53"/>
    <mergeCell ref="K2:O2"/>
    <mergeCell ref="B28:I28"/>
    <mergeCell ref="K42:O42"/>
    <mergeCell ref="B4:J4"/>
    <mergeCell ref="K48:O48"/>
    <mergeCell ref="B6:C6"/>
    <mergeCell ref="K7:L7"/>
    <mergeCell ref="E7:F7"/>
    <mergeCell ref="B55:O55"/>
    <mergeCell ref="N6:O6"/>
    <mergeCell ref="K45:M45"/>
    <mergeCell ref="K28:O28"/>
    <mergeCell ref="K37:O37"/>
    <mergeCell ref="K6:L6"/>
    <mergeCell ref="K4:O4"/>
  </mergeCells>
  <conditionalFormatting sqref="B8">
    <cfRule type="cellIs" dxfId="0" priority="1" operator="greaterThanOrEqual">
      <formula>0</formula>
    </cfRule>
    <cfRule type="cellIs" dxfId="1" priority="2" operator="lessThan">
      <formula>0</formula>
    </cfRule>
  </conditionalFormatting>
  <conditionalFormatting sqref="F30:F39">
    <cfRule type="cellIs" dxfId="0" priority="3" operator="greaterThanOrEqual">
      <formula>0</formula>
    </cfRule>
    <cfRule type="cellIs" dxfId="1" priority="4" operator="lessThan">
      <formula>0</formula>
    </cfRule>
  </conditionalFormatting>
  <conditionalFormatting sqref="O30:O34">
    <cfRule type="dataBar" priority="5">
      <dataBar>
        <cfvo type="num" val="0"/>
        <cfvo type="num" val="0.6"/>
        <color rgb="00C9D3E3"/>
      </dataBar>
    </cfRule>
  </conditionalFormatting>
  <conditionalFormatting sqref="O56">
    <cfRule type="cellIs" dxfId="2" priority="6" operator="notEqual">
      <formula>0</formula>
    </cfRule>
  </conditionalFormatting>
  <pageMargins left="0.4" right="0.4" top="0.5" bottom="0.5" header="0.5" footer="0.5"/>
  <pageSetup fitToHeight="1" fitToWidth="1" orientation="landscape" paperSize="9"/>
  <headerFooter>
    <oddFooter>&amp;L&amp;8 Linden &amp; Loom · Global Sales &amp; Operations Report FY2026&amp;R&amp;8 &amp;A · Page &amp;P of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002B4C7E"/>
    <outlinePr summaryBelow="true" summaryRight="true"/>
    <pageSetUpPr fitToPage="true"/>
  </sheetPr>
  <dimension ref="A1:O48"/>
  <sheetViews>
    <sheetView showGridLines="false" workbookViewId="0">
      <selection activeCell="A1" sqref="A1"/>
    </sheetView>
  </sheetViews>
  <sheetFormatPr baseColWidth="8" defaultRowHeight="15"/>
  <cols>
    <col customWidth="true" max="1" min="1" width="2.5"/>
    <col customWidth="true" max="2" min="2" width="18"/>
    <col customWidth="true" max="3" min="3" width="14"/>
    <col customWidth="true" max="4" min="4" width="10"/>
    <col customWidth="true" max="5" min="5" width="12"/>
    <col customWidth="true" max="6" min="6" width="9"/>
    <col customWidth="true" max="7" min="7" width="10"/>
    <col customWidth="true" max="8" min="8" width="16"/>
    <col customWidth="true" max="9" min="9" width="15"/>
    <col customWidth="true" max="10" min="10" width="9"/>
    <col customWidth="true" max="11" min="11" width="15"/>
    <col customWidth="true" max="12" min="12" width="10"/>
    <col customWidth="true" max="13" min="13" width="13"/>
    <col customWidth="true" max="14" min="14" width="12"/>
    <col customWidth="true" max="15" min="15" width="2.5"/>
  </cols>
  <sheetData>
    <row r="1" ht="7" customHeight="true">
      <c r="A1" s="1" t="n"/>
      <c r="B1" s="1" t="n"/>
      <c r="C1" s="1" t="n"/>
      <c r="D1" s="1" t="n"/>
      <c r="E1" s="1" t="n"/>
      <c r="F1" s="1" t="n"/>
      <c r="G1" s="1" t="n"/>
      <c r="H1" s="1" t="n"/>
      <c r="I1" s="1" t="n"/>
      <c r="J1" s="1" t="n"/>
      <c r="K1" s="1" t="n"/>
      <c r="L1" s="1" t="n"/>
      <c r="M1" s="1" t="n"/>
      <c r="N1" s="1" t="n"/>
      <c r="O1" s="1" t="n"/>
    </row>
    <row r="2" ht="22" customHeight="true">
      <c r="B2" s="53" t="s">
        <v>38</v>
      </c>
    </row>
    <row r="3" ht="32" customHeight="true">
      <c r="B3" s="54" t="s">
        <v>39</v>
      </c>
    </row>
    <row r="4" ht="30" customHeight="true">
      <c r="B4" s="55" t="s">
        <v>40</v>
      </c>
    </row>
    <row r="5" ht="10" customHeight="true"/>
    <row r="6" ht="24" customHeight="true">
      <c r="B6" s="21" t="s">
        <v>41</v>
      </c>
      <c r="C6" s="22" t="n"/>
      <c r="D6" s="22" t="n"/>
      <c r="E6" s="22" t="n"/>
      <c r="F6" s="22" t="n"/>
      <c r="G6" s="22" t="n"/>
      <c r="H6" s="22" t="n"/>
      <c r="I6" s="22" t="n"/>
      <c r="J6" s="22" t="n"/>
      <c r="K6" s="22" t="n"/>
      <c r="L6" s="22" t="n"/>
      <c r="M6" s="22" t="n"/>
      <c r="N6" s="22" t="n"/>
    </row>
    <row r="7" ht="46" customHeight="true">
      <c r="B7" s="56" t="s">
        <v>42</v>
      </c>
      <c r="C7" s="56" t="s">
        <v>43</v>
      </c>
      <c r="D7" s="56" t="s">
        <v>44</v>
      </c>
      <c r="E7" s="56" t="s">
        <v>45</v>
      </c>
      <c r="F7" s="56" t="s">
        <v>5</v>
      </c>
      <c r="G7" s="56" t="s">
        <v>20</v>
      </c>
      <c r="H7" s="56" t="s">
        <v>46</v>
      </c>
      <c r="I7" s="56" t="s">
        <v>17</v>
      </c>
      <c r="J7" s="56" t="s">
        <v>47</v>
      </c>
      <c r="K7" s="56" t="s">
        <v>48</v>
      </c>
      <c r="L7" s="56" t="s">
        <v>49</v>
      </c>
      <c r="M7" s="56" t="s">
        <v>50</v>
      </c>
      <c r="N7" s="56" t="s">
        <v>51</v>
      </c>
    </row>
    <row r="8" ht="21" customHeight="true">
      <c r="B8" s="57" t="s">
        <v>52</v>
      </c>
      <c r="C8" s="58" t="s">
        <v>53</v>
      </c>
      <c r="D8" s="59" t="inlineStr">
        <is>
          <t>USD</t>
        </is>
      </c>
      <c r="E8" s="60" t="n">
        <v>1</v>
      </c>
      <c r="F8" s="29">
        <f>COUNTIFS('International Orders'!$E$8:$E$107,$B8,'International Orders'!$P$8:$P$107,"&lt;&gt;"&amp;'International Orders'!$P$5)</f>
        <v>24</v>
      </c>
      <c r="G8" s="29">
        <f>SUMIFS('International Orders'!$J$8:$J$107,'International Orders'!$E$8:$E$107,$B8,'International Orders'!$P$8:$P$107,"&lt;&gt;"&amp;'International Orders'!$P$5)</f>
        <v>4714</v>
      </c>
      <c r="H8" s="61">
        <f>SUMIFS('International Orders'!$N$8:$N$107,'International Orders'!$E$8:$E$107,$B8,'International Orders'!$P$8:$P$107,"&lt;&gt;"&amp;'International Orders'!$P$5)</f>
        <v>482249.02</v>
      </c>
      <c r="I8" s="26">
        <f>SUMIFS('International Orders'!$O$8:$O$107,'International Orders'!$E$8:$E$107,$B8,'International Orders'!$P$8:$P$107,"&lt;&gt;"&amp;'International Orders'!$P$5)</f>
        <v>482249.02</v>
      </c>
      <c r="J8" s="32">
        <f>IFERROR(I8/$I$16,0)</f>
        <v>0.213721306238738</v>
      </c>
      <c r="K8" s="27" t="n">
        <v>431000</v>
      </c>
      <c r="L8" s="28">
        <f>IFERROR(I8/K8-1,0)</f>
        <v>0.118907238979118</v>
      </c>
      <c r="M8" s="26">
        <f>IFERROR(I8/F8,0)</f>
        <v>20093.7091666667</v>
      </c>
      <c r="N8" s="32">
        <f>IFERROR(1-H8/SUMPRODUCT(('International Orders'!$E$8:$E$107=$B8)*('International Orders'!$P$8:$P$107&lt;&gt;'International Orders'!$P$5)*'International Orders'!$N$8:$N$107/(1-'International Orders'!$M$8:$M$107)),0)</f>
        <v>0.0997744624769926</v>
      </c>
    </row>
    <row r="9" ht="21" customHeight="true">
      <c r="B9" s="57" t="s">
        <v>54</v>
      </c>
      <c r="C9" s="58" t="s">
        <v>53</v>
      </c>
      <c r="D9" s="59" t="inlineStr">
        <is>
          <t>CAD</t>
        </is>
      </c>
      <c r="E9" s="60" t="n">
        <v>1.37</v>
      </c>
      <c r="F9" s="29">
        <f>COUNTIFS('International Orders'!$E$8:$E$107,$B9,'International Orders'!$P$8:$P$107,"&lt;&gt;"&amp;'International Orders'!$P$5)</f>
        <v>10</v>
      </c>
      <c r="G9" s="29">
        <f>SUMIFS('International Orders'!$J$8:$J$107,'International Orders'!$E$8:$E$107,$B9,'International Orders'!$P$8:$P$107,"&lt;&gt;"&amp;'International Orders'!$P$5)</f>
        <v>1300</v>
      </c>
      <c r="H9" s="61">
        <f>SUMIFS('International Orders'!$N$8:$N$107,'International Orders'!$E$8:$E$107,$B9,'International Orders'!$P$8:$P$107,"&lt;&gt;"&amp;'International Orders'!$P$5)</f>
        <v>309290.8986</v>
      </c>
      <c r="I9" s="26">
        <f>SUMIFS('International Orders'!$O$8:$O$107,'International Orders'!$E$8:$E$107,$B9,'International Orders'!$P$8:$P$107,"&lt;&gt;"&amp;'International Orders'!$P$5)</f>
        <v>225759.78</v>
      </c>
      <c r="J9" s="32">
        <f>IFERROR(I9/$I$16,0)</f>
        <v>0.100051369887221</v>
      </c>
      <c r="K9" s="27" t="n">
        <v>213000</v>
      </c>
      <c r="L9" s="28">
        <f>IFERROR(I9/K9-1,0)</f>
        <v>0.059905070422535</v>
      </c>
      <c r="M9" s="26">
        <f>IFERROR(I9/F9,0)</f>
        <v>22575.978</v>
      </c>
      <c r="N9" s="32">
        <f>IFERROR(1-H9/SUMPRODUCT(('International Orders'!$E$8:$E$107=$B9)*('International Orders'!$P$8:$P$107&lt;&gt;'International Orders'!$P$5)*'International Orders'!$N$8:$N$107/(1-'International Orders'!$M$8:$M$107)),0)</f>
        <v>0.0885463398091179</v>
      </c>
    </row>
    <row r="10" ht="21" customHeight="true">
      <c r="B10" s="57" t="s">
        <v>55</v>
      </c>
      <c r="C10" s="58" t="s">
        <v>56</v>
      </c>
      <c r="D10" s="59" t="inlineStr">
        <is>
          <t>GBP</t>
        </is>
      </c>
      <c r="E10" s="60" t="n">
        <v>0.78</v>
      </c>
      <c r="F10" s="29">
        <f>COUNTIFS('International Orders'!$E$8:$E$107,$B10,'International Orders'!$P$8:$P$107,"&lt;&gt;"&amp;'International Orders'!$P$5)</f>
        <v>9</v>
      </c>
      <c r="G10" s="29">
        <f>SUMIFS('International Orders'!$J$8:$J$107,'International Orders'!$E$8:$E$107,$B10,'International Orders'!$P$8:$P$107,"&lt;&gt;"&amp;'International Orders'!$P$5)</f>
        <v>1548</v>
      </c>
      <c r="H10" s="61">
        <f>SUMIFS('International Orders'!$N$8:$N$107,'International Orders'!$E$8:$E$107,$B10,'International Orders'!$P$8:$P$107,"&lt;&gt;"&amp;'International Orders'!$P$5)</f>
        <v>143852.904</v>
      </c>
      <c r="I10" s="26">
        <f>SUMIFS('International Orders'!$O$8:$O$107,'International Orders'!$E$8:$E$107,$B10,'International Orders'!$P$8:$P$107,"&lt;&gt;"&amp;'International Orders'!$P$5)</f>
        <v>184426.8</v>
      </c>
      <c r="J10" s="32">
        <f>IFERROR(I10/$I$16,0)</f>
        <v>0.0817335753246952</v>
      </c>
      <c r="K10" s="27" t="n">
        <v>192000</v>
      </c>
      <c r="L10" s="28">
        <f>IFERROR(I10/K10-1,0)</f>
        <v>-0.0394437500000001</v>
      </c>
      <c r="M10" s="26">
        <f>IFERROR(I10/F10,0)</f>
        <v>20491.8666666667</v>
      </c>
      <c r="N10" s="32">
        <f>IFERROR(1-H10/SUMPRODUCT(('International Orders'!$E$8:$E$107=$B10)*('International Orders'!$P$8:$P$107&lt;&gt;'International Orders'!$P$5)*'International Orders'!$N$8:$N$107/(1-'International Orders'!$M$8:$M$107)),0)</f>
        <v>0.0865981219541187</v>
      </c>
    </row>
    <row r="11" ht="21" customHeight="true">
      <c r="B11" s="57" t="s">
        <v>57</v>
      </c>
      <c r="C11" s="58" t="s">
        <v>56</v>
      </c>
      <c r="D11" s="59" t="inlineStr">
        <is>
          <t>EUR</t>
        </is>
      </c>
      <c r="E11" s="60" t="n">
        <v>0.92</v>
      </c>
      <c r="F11" s="29">
        <f>COUNTIFS('International Orders'!$E$8:$E$107,$B11,'International Orders'!$P$8:$P$107,"&lt;&gt;"&amp;'International Orders'!$P$5)</f>
        <v>16</v>
      </c>
      <c r="G11" s="29">
        <f>SUMIFS('International Orders'!$J$8:$J$107,'International Orders'!$E$8:$E$107,$B11,'International Orders'!$P$8:$P$107,"&lt;&gt;"&amp;'International Orders'!$P$5)</f>
        <v>2250</v>
      </c>
      <c r="H11" s="61">
        <f>SUMIFS('International Orders'!$N$8:$N$107,'International Orders'!$E$8:$E$107,$B11,'International Orders'!$P$8:$P$107,"&lt;&gt;"&amp;'International Orders'!$P$5)</f>
        <v>330725.8044</v>
      </c>
      <c r="I11" s="26">
        <f>SUMIFS('International Orders'!$O$8:$O$107,'International Orders'!$E$8:$E$107,$B11,'International Orders'!$P$8:$P$107,"&lt;&gt;"&amp;'International Orders'!$P$5)</f>
        <v>359484.57</v>
      </c>
      <c r="J11" s="32">
        <f>IFERROR(I11/$I$16,0)</f>
        <v>0.159315019184634</v>
      </c>
      <c r="K11" s="27" t="n">
        <v>305000</v>
      </c>
      <c r="L11" s="28">
        <f>IFERROR(I11/K11-1,0)</f>
        <v>0.178637934426229</v>
      </c>
      <c r="M11" s="26">
        <f>IFERROR(I11/F11,0)</f>
        <v>22467.785625</v>
      </c>
      <c r="N11" s="32">
        <f>IFERROR(1-H11/SUMPRODUCT(('International Orders'!$E$8:$E$107=$B11)*('International Orders'!$P$8:$P$107&lt;&gt;'International Orders'!$P$5)*'International Orders'!$N$8:$N$107/(1-'International Orders'!$M$8:$M$107)),0)</f>
        <v>0.0922702802341261</v>
      </c>
    </row>
    <row r="12" ht="21" customHeight="true">
      <c r="B12" s="57" t="s">
        <v>58</v>
      </c>
      <c r="C12" s="58" t="s">
        <v>56</v>
      </c>
      <c r="D12" s="59" t="inlineStr">
        <is>
          <t>EUR</t>
        </is>
      </c>
      <c r="E12" s="60" t="n">
        <v>0.92</v>
      </c>
      <c r="F12" s="29">
        <f>COUNTIFS('International Orders'!$E$8:$E$107,$B12,'International Orders'!$P$8:$P$107,"&lt;&gt;"&amp;'International Orders'!$P$5)</f>
        <v>10</v>
      </c>
      <c r="G12" s="29">
        <f>SUMIFS('International Orders'!$J$8:$J$107,'International Orders'!$E$8:$E$107,$B12,'International Orders'!$P$8:$P$107,"&lt;&gt;"&amp;'International Orders'!$P$5)</f>
        <v>3320</v>
      </c>
      <c r="H12" s="61">
        <f>SUMIFS('International Orders'!$N$8:$N$107,'International Orders'!$E$8:$E$107,$B12,'International Orders'!$P$8:$P$107,"&lt;&gt;"&amp;'International Orders'!$P$5)</f>
        <v>217130.8008</v>
      </c>
      <c r="I12" s="26">
        <f>SUMIFS('International Orders'!$O$8:$O$107,'International Orders'!$E$8:$E$107,$B12,'International Orders'!$P$8:$P$107,"&lt;&gt;"&amp;'International Orders'!$P$5)</f>
        <v>236011.74</v>
      </c>
      <c r="J12" s="32">
        <f>IFERROR(I12/$I$16,0)</f>
        <v>0.104594794947385</v>
      </c>
      <c r="K12" s="27" t="n">
        <v>217000</v>
      </c>
      <c r="L12" s="28">
        <f>IFERROR(I12/K12-1,0)</f>
        <v>0.0876117050691243</v>
      </c>
      <c r="M12" s="26">
        <f>IFERROR(I12/F12,0)</f>
        <v>23601.174</v>
      </c>
      <c r="N12" s="32">
        <f>IFERROR(1-H12/SUMPRODUCT(('International Orders'!$E$8:$E$107=$B12)*('International Orders'!$P$8:$P$107&lt;&gt;'International Orders'!$P$5)*'International Orders'!$N$8:$N$107/(1-'International Orders'!$M$8:$M$107)),0)</f>
        <v>0.102958038768529</v>
      </c>
    </row>
    <row r="13" ht="21" customHeight="true">
      <c r="B13" s="57" t="s">
        <v>59</v>
      </c>
      <c r="C13" s="58" t="s">
        <v>56</v>
      </c>
      <c r="D13" s="59" t="inlineStr">
        <is>
          <t>SEK</t>
        </is>
      </c>
      <c r="E13" s="60" t="n">
        <v>10.6</v>
      </c>
      <c r="F13" s="29">
        <f>COUNTIFS('International Orders'!$E$8:$E$107,$B13,'International Orders'!$P$8:$P$107,"&lt;&gt;"&amp;'International Orders'!$P$5)</f>
        <v>7</v>
      </c>
      <c r="G13" s="29">
        <f>SUMIFS('International Orders'!$J$8:$J$107,'International Orders'!$E$8:$E$107,$B13,'International Orders'!$P$8:$P$107,"&lt;&gt;"&amp;'International Orders'!$P$5)</f>
        <v>2608</v>
      </c>
      <c r="H13" s="61">
        <f>SUMIFS('International Orders'!$N$8:$N$107,'International Orders'!$E$8:$E$107,$B13,'International Orders'!$P$8:$P$107,"&lt;&gt;"&amp;'International Orders'!$P$5)</f>
        <v>2563699.146</v>
      </c>
      <c r="I13" s="26">
        <f>SUMIFS('International Orders'!$O$8:$O$107,'International Orders'!$E$8:$E$107,$B13,'International Orders'!$P$8:$P$107,"&lt;&gt;"&amp;'International Orders'!$P$5)</f>
        <v>241858.41</v>
      </c>
      <c r="J13" s="32">
        <f>IFERROR(I13/$I$16,0)</f>
        <v>0.107185900160096</v>
      </c>
      <c r="K13" s="27" t="n">
        <v>235000</v>
      </c>
      <c r="L13" s="28">
        <f>IFERROR(I13/K13-1,0)</f>
        <v>0.0291847234042553</v>
      </c>
      <c r="M13" s="26">
        <f>IFERROR(I13/F13,0)</f>
        <v>34551.2014285714</v>
      </c>
      <c r="N13" s="32">
        <f>IFERROR(1-H13/SUMPRODUCT(('International Orders'!$E$8:$E$107=$B13)*('International Orders'!$P$8:$P$107&lt;&gt;'International Orders'!$P$5)*'International Orders'!$N$8:$N$107/(1-'International Orders'!$M$8:$M$107)),0)</f>
        <v>0.118038967574427</v>
      </c>
    </row>
    <row r="14" ht="21" customHeight="true">
      <c r="B14" s="57" t="s">
        <v>60</v>
      </c>
      <c r="C14" s="58" t="s">
        <v>61</v>
      </c>
      <c r="D14" s="59" t="inlineStr">
        <is>
          <t>JPY</t>
        </is>
      </c>
      <c r="E14" s="60" t="n">
        <v>148</v>
      </c>
      <c r="F14" s="29">
        <f>COUNTIFS('International Orders'!$E$8:$E$107,$B14,'International Orders'!$P$8:$P$107,"&lt;&gt;"&amp;'International Orders'!$P$5)</f>
        <v>12</v>
      </c>
      <c r="G14" s="29">
        <f>SUMIFS('International Orders'!$J$8:$J$107,'International Orders'!$E$8:$E$107,$B14,'International Orders'!$P$8:$P$107,"&lt;&gt;"&amp;'International Orders'!$P$5)</f>
        <v>2788</v>
      </c>
      <c r="H14" s="61">
        <f>SUMIFS('International Orders'!$N$8:$N$107,'International Orders'!$E$8:$E$107,$B14,'International Orders'!$P$8:$P$107,"&lt;&gt;"&amp;'International Orders'!$P$5)</f>
        <v>39031131.28</v>
      </c>
      <c r="I14" s="26">
        <f>SUMIFS('International Orders'!$O$8:$O$107,'International Orders'!$E$8:$E$107,$B14,'International Orders'!$P$8:$P$107,"&lt;&gt;"&amp;'International Orders'!$P$5)</f>
        <v>263723.86</v>
      </c>
      <c r="J14" s="32">
        <f>IFERROR(I14/$I$16,0)</f>
        <v>0.116876148023115</v>
      </c>
      <c r="K14" s="27" t="n">
        <v>201000</v>
      </c>
      <c r="L14" s="28">
        <f>IFERROR(I14/K14-1,0)</f>
        <v>0.312059004975124</v>
      </c>
      <c r="M14" s="26">
        <f>IFERROR(I14/F14,0)</f>
        <v>21976.9883333333</v>
      </c>
      <c r="N14" s="32">
        <f>IFERROR(1-H14/SUMPRODUCT(('International Orders'!$E$8:$E$107=$B14)*('International Orders'!$P$8:$P$107&lt;&gt;'International Orders'!$P$5)*'International Orders'!$N$8:$N$107/(1-'International Orders'!$M$8:$M$107)),0)</f>
        <v>0.0617880978469683</v>
      </c>
    </row>
    <row r="15" ht="21" customHeight="true">
      <c r="B15" s="57" t="s">
        <v>62</v>
      </c>
      <c r="C15" s="58" t="s">
        <v>61</v>
      </c>
      <c r="D15" s="59" t="inlineStr">
        <is>
          <t>AUD</t>
        </is>
      </c>
      <c r="E15" s="60" t="n">
        <v>1.52</v>
      </c>
      <c r="F15" s="29">
        <f>COUNTIFS('International Orders'!$E$8:$E$107,$B15,'International Orders'!$P$8:$P$107,"&lt;&gt;"&amp;'International Orders'!$P$5)</f>
        <v>9</v>
      </c>
      <c r="G15" s="29">
        <f>SUMIFS('International Orders'!$J$8:$J$107,'International Orders'!$E$8:$E$107,$B15,'International Orders'!$P$8:$P$107,"&lt;&gt;"&amp;'International Orders'!$P$5)</f>
        <v>2210</v>
      </c>
      <c r="H15" s="61">
        <f>SUMIFS('International Orders'!$N$8:$N$107,'International Orders'!$E$8:$E$107,$B15,'International Orders'!$P$8:$P$107,"&lt;&gt;"&amp;'International Orders'!$P$5)</f>
        <v>399645.2248</v>
      </c>
      <c r="I15" s="26">
        <f>SUMIFS('International Orders'!$O$8:$O$107,'International Orders'!$E$8:$E$107,$B15,'International Orders'!$P$8:$P$107,"&lt;&gt;"&amp;'International Orders'!$P$5)</f>
        <v>262924.49</v>
      </c>
      <c r="J15" s="32">
        <f>IFERROR(I15/$I$16,0)</f>
        <v>0.116521886234116</v>
      </c>
      <c r="K15" s="27" t="n">
        <v>231000</v>
      </c>
      <c r="L15" s="28">
        <f>IFERROR(I15/K15-1,0)</f>
        <v>0.138201255411255</v>
      </c>
      <c r="M15" s="26">
        <f>IFERROR(I15/F15,0)</f>
        <v>29213.8322222222</v>
      </c>
      <c r="N15" s="32">
        <f>IFERROR(1-H15/SUMPRODUCT(('International Orders'!$E$8:$E$107=$B15)*('International Orders'!$P$8:$P$107&lt;&gt;'International Orders'!$P$5)*'International Orders'!$N$8:$N$107/(1-'International Orders'!$M$8:$M$107)),0)</f>
        <v>0.0981220114567969</v>
      </c>
    </row>
    <row r="16" ht="22" customHeight="true">
      <c r="B16" s="62" t="s">
        <v>23</v>
      </c>
      <c r="C16" s="62" t="n"/>
      <c r="D16" s="62" t="n"/>
      <c r="E16" s="63" t="n"/>
      <c r="F16" s="64">
        <f>SUM(F8:F15)</f>
        <v>97</v>
      </c>
      <c r="G16" s="64">
        <f>SUM(G8:G15)</f>
        <v>20738</v>
      </c>
      <c r="H16" s="65" t="s">
        <v>63</v>
      </c>
      <c r="I16" s="66">
        <f>SUM(I8:I15)</f>
        <v>2256438.67</v>
      </c>
      <c r="J16" s="67">
        <f>SUM(J8:J15)</f>
        <v>1</v>
      </c>
      <c r="K16" s="66">
        <f>SUM(K8:K15)</f>
        <v>2025000</v>
      </c>
      <c r="L16" s="68">
        <f>IFERROR(I16/K16-1,0)</f>
        <v>0.114290701234568</v>
      </c>
      <c r="M16" s="66">
        <f>IFERROR(I16/F16,0)</f>
        <v>23262.2543298969</v>
      </c>
      <c r="N16" s="67">
        <f>IFERROR(1-I16/SUMPRODUCT(('International Orders'!$P$8:$P$107&lt;&gt;'International Orders'!$P$5)*'International Orders'!$O$8:$O$107/(1-'International Orders'!$M$8:$M$107)),0)</f>
        <v>0.0942646023446601</v>
      </c>
    </row>
    <row r="17" ht="32" customHeight="true">
      <c r="B17" s="69" t="s">
        <v>64</v>
      </c>
    </row>
    <row r="18"/>
    <row r="19" ht="24" customHeight="true">
      <c r="B19" s="21" t="s">
        <v>65</v>
      </c>
      <c r="C19" s="22" t="n"/>
      <c r="D19" s="22" t="n"/>
      <c r="E19" s="22" t="n"/>
      <c r="F19" s="22" t="n"/>
      <c r="G19" s="22" t="n"/>
      <c r="H19" s="22" t="n"/>
      <c r="J19" s="21" t="s">
        <v>66</v>
      </c>
      <c r="K19" s="22" t="n"/>
      <c r="L19" s="22" t="n"/>
      <c r="M19" s="22" t="n"/>
      <c r="N19" s="22" t="n"/>
    </row>
    <row r="20" ht="18" customHeight="true">
      <c r="J20" s="49" t="s">
        <v>67</v>
      </c>
    </row>
    <row r="21" ht="18" customHeight="true"/>
    <row r="22" ht="18" customHeight="true"/>
    <row r="23" ht="18" customHeight="true"/>
    <row r="24" ht="18" customHeight="true"/>
    <row r="25" ht="18" customHeight="true"/>
    <row r="26" ht="18" customHeight="true"/>
    <row r="27" ht="18" customHeight="true"/>
    <row r="28" ht="18" customHeight="true"/>
    <row r="29" ht="18" customHeight="true"/>
    <row r="30" ht="18" customHeight="true"/>
    <row r="31" ht="18" customHeight="true"/>
    <row r="32" ht="18" customHeight="true"/>
    <row r="33" ht="18" customHeight="true"/>
    <row r="34" ht="18" customHeight="true"/>
    <row r="35" ht="18" customHeight="true"/>
    <row r="36" ht="18" customHeight="true"/>
    <row r="37" ht="18" customHeight="true"/>
    <row r="38"/>
    <row r="39" ht="24" customHeight="true">
      <c r="B39" s="21" t="s">
        <v>68</v>
      </c>
      <c r="C39" s="22" t="n"/>
      <c r="D39" s="22" t="n"/>
      <c r="E39" s="22" t="n"/>
      <c r="F39" s="22" t="n"/>
      <c r="G39" s="22" t="n"/>
      <c r="H39" s="22" t="n"/>
      <c r="I39" s="22" t="n"/>
      <c r="J39" s="22" t="n"/>
      <c r="K39" s="22" t="n"/>
      <c r="L39" s="22" t="n"/>
      <c r="M39" s="22" t="n"/>
      <c r="N39" s="22" t="n"/>
    </row>
    <row r="40" ht="26" customHeight="true">
      <c r="B40" s="23" t="s">
        <v>42</v>
      </c>
      <c r="D40" s="23" t="s">
        <v>69</v>
      </c>
      <c r="H40" s="23" t="s">
        <v>70</v>
      </c>
      <c r="L40" s="23" t="s">
        <v>71</v>
      </c>
    </row>
    <row r="41" ht="76" customHeight="true">
      <c r="B41" s="70" t="s">
        <v>72</v>
      </c>
      <c r="C41" s="31" t="n"/>
      <c r="D41" s="71" t="s">
        <v>73</v>
      </c>
      <c r="E41" s="31" t="n"/>
      <c r="F41" s="31" t="n"/>
      <c r="G41" s="31" t="n"/>
      <c r="H41" s="71" t="s">
        <v>74</v>
      </c>
      <c r="I41" s="31" t="n"/>
      <c r="J41" s="31" t="n"/>
      <c r="K41" s="31" t="n"/>
      <c r="L41" s="71" t="s">
        <v>75</v>
      </c>
      <c r="M41" s="31" t="n"/>
      <c r="N41" s="31" t="n"/>
    </row>
    <row r="42" ht="62.8" customHeight="true">
      <c r="B42" s="72" t="s">
        <v>76</v>
      </c>
      <c r="C42" s="31" t="n"/>
      <c r="D42" s="73" t="s">
        <v>77</v>
      </c>
      <c r="E42" s="31" t="n"/>
      <c r="F42" s="31" t="n"/>
      <c r="G42" s="31" t="n"/>
      <c r="H42" s="73" t="s">
        <v>78</v>
      </c>
      <c r="I42" s="31" t="n"/>
      <c r="J42" s="31" t="n"/>
      <c r="K42" s="31" t="n"/>
      <c r="L42" s="73" t="s">
        <v>79</v>
      </c>
      <c r="M42" s="31" t="n"/>
      <c r="N42" s="31" t="n"/>
    </row>
    <row r="43" ht="49.6" customHeight="true">
      <c r="B43" s="70" t="s">
        <v>80</v>
      </c>
      <c r="C43" s="31" t="n"/>
      <c r="D43" s="71" t="s">
        <v>81</v>
      </c>
      <c r="E43" s="31" t="n"/>
      <c r="F43" s="31" t="n"/>
      <c r="G43" s="31" t="n"/>
      <c r="H43" s="71" t="s">
        <v>82</v>
      </c>
      <c r="I43" s="31" t="n"/>
      <c r="J43" s="31" t="n"/>
      <c r="K43" s="31" t="n"/>
      <c r="L43" s="71" t="s">
        <v>83</v>
      </c>
      <c r="M43" s="31" t="n"/>
      <c r="N43" s="31" t="n"/>
    </row>
    <row r="44" ht="62.8" customHeight="true">
      <c r="B44" s="72" t="s">
        <v>84</v>
      </c>
      <c r="C44" s="31" t="n"/>
      <c r="D44" s="73" t="s">
        <v>85</v>
      </c>
      <c r="E44" s="31" t="n"/>
      <c r="F44" s="31" t="n"/>
      <c r="G44" s="31" t="n"/>
      <c r="H44" s="73" t="s">
        <v>86</v>
      </c>
      <c r="I44" s="31" t="n"/>
      <c r="J44" s="31" t="n"/>
      <c r="K44" s="31" t="n"/>
      <c r="L44" s="73" t="s">
        <v>87</v>
      </c>
      <c r="M44" s="31" t="n"/>
      <c r="N44" s="31" t="n"/>
    </row>
    <row r="45" ht="49.6" customHeight="true">
      <c r="B45" s="70" t="s">
        <v>88</v>
      </c>
      <c r="C45" s="31" t="n"/>
      <c r="D45" s="71" t="s">
        <v>89</v>
      </c>
      <c r="E45" s="31" t="n"/>
      <c r="F45" s="31" t="n"/>
      <c r="G45" s="31" t="n"/>
      <c r="H45" s="71" t="s">
        <v>90</v>
      </c>
      <c r="I45" s="31" t="n"/>
      <c r="J45" s="31" t="n"/>
      <c r="K45" s="31" t="n"/>
      <c r="L45" s="71" t="s">
        <v>91</v>
      </c>
      <c r="M45" s="31" t="n"/>
      <c r="N45" s="31" t="n"/>
    </row>
    <row r="46" ht="62.8" customHeight="true">
      <c r="B46" s="72" t="s">
        <v>92</v>
      </c>
      <c r="C46" s="31" t="n"/>
      <c r="D46" s="73" t="s">
        <v>93</v>
      </c>
      <c r="E46" s="31" t="n"/>
      <c r="F46" s="31" t="n"/>
      <c r="G46" s="31" t="n"/>
      <c r="H46" s="73" t="s">
        <v>94</v>
      </c>
      <c r="I46" s="31" t="n"/>
      <c r="J46" s="31" t="n"/>
      <c r="K46" s="31" t="n"/>
      <c r="L46" s="73" t="s">
        <v>95</v>
      </c>
      <c r="M46" s="31" t="n"/>
      <c r="N46" s="31" t="n"/>
    </row>
    <row r="47" ht="62.8" customHeight="true">
      <c r="B47" s="70" t="s">
        <v>96</v>
      </c>
      <c r="C47" s="31" t="n"/>
      <c r="D47" s="71" t="s">
        <v>97</v>
      </c>
      <c r="E47" s="31" t="n"/>
      <c r="F47" s="31" t="n"/>
      <c r="G47" s="31" t="n"/>
      <c r="H47" s="71" t="s">
        <v>98</v>
      </c>
      <c r="I47" s="31" t="n"/>
      <c r="J47" s="31" t="n"/>
      <c r="K47" s="31" t="n"/>
      <c r="L47" s="71" t="s">
        <v>99</v>
      </c>
      <c r="M47" s="31" t="n"/>
      <c r="N47" s="31" t="n"/>
    </row>
    <row r="48" ht="49.6" customHeight="true">
      <c r="B48" s="72" t="s">
        <v>100</v>
      </c>
      <c r="C48" s="31" t="n"/>
      <c r="D48" s="73" t="s">
        <v>101</v>
      </c>
      <c r="E48" s="31" t="n"/>
      <c r="F48" s="31" t="n"/>
      <c r="G48" s="31" t="n"/>
      <c r="H48" s="73" t="s">
        <v>102</v>
      </c>
      <c r="I48" s="31" t="n"/>
      <c r="J48" s="31" t="n"/>
      <c r="K48" s="31" t="n"/>
      <c r="L48" s="73" t="s">
        <v>103</v>
      </c>
      <c r="M48" s="31" t="n"/>
      <c r="N48" s="31" t="n"/>
    </row>
  </sheetData>
  <mergeCells count="43">
    <mergeCell ref="B47:C47"/>
    <mergeCell ref="L42:N42"/>
    <mergeCell ref="H47:K47"/>
    <mergeCell ref="B46:C46"/>
    <mergeCell ref="L45:N45"/>
    <mergeCell ref="H48:K48"/>
    <mergeCell ref="J19:N19"/>
    <mergeCell ref="D42:G42"/>
    <mergeCell ref="B6:N6"/>
    <mergeCell ref="H42:K42"/>
    <mergeCell ref="B43:C43"/>
    <mergeCell ref="B48:C48"/>
    <mergeCell ref="L41:N41"/>
    <mergeCell ref="B4:N4"/>
    <mergeCell ref="D44:G44"/>
    <mergeCell ref="L44:N44"/>
    <mergeCell ref="L40:N40"/>
    <mergeCell ref="B42:C42"/>
    <mergeCell ref="H43:K43"/>
    <mergeCell ref="H41:K41"/>
    <mergeCell ref="D46:G46"/>
    <mergeCell ref="D40:G40"/>
    <mergeCell ref="B44:C44"/>
    <mergeCell ref="H44:K44"/>
    <mergeCell ref="L46:N46"/>
    <mergeCell ref="H40:K40"/>
    <mergeCell ref="D45:G45"/>
    <mergeCell ref="H46:K46"/>
    <mergeCell ref="B40:C40"/>
    <mergeCell ref="B39:N39"/>
    <mergeCell ref="L48:N48"/>
    <mergeCell ref="D41:G41"/>
    <mergeCell ref="J20:N37"/>
    <mergeCell ref="D48:G48"/>
    <mergeCell ref="D47:G47"/>
    <mergeCell ref="B17:N17"/>
    <mergeCell ref="B45:C45"/>
    <mergeCell ref="L47:N47"/>
    <mergeCell ref="D43:G43"/>
    <mergeCell ref="L43:N43"/>
    <mergeCell ref="B41:C41"/>
    <mergeCell ref="H45:K45"/>
    <mergeCell ref="B19:H19"/>
  </mergeCells>
  <conditionalFormatting sqref="L8:L16">
    <cfRule type="cellIs" dxfId="0" priority="1" operator="greaterThanOrEqual">
      <formula>0</formula>
    </cfRule>
    <cfRule type="cellIs" dxfId="1" priority="2" operator="lessThan">
      <formula>0</formula>
    </cfRule>
  </conditionalFormatting>
  <conditionalFormatting sqref="J8:J15">
    <cfRule type="dataBar" priority="3">
      <dataBar>
        <cfvo type="num" val="0"/>
        <cfvo type="num" val="0.4"/>
        <color rgb="00C9D3E3"/>
      </dataBar>
    </cfRule>
  </conditionalFormatting>
  <pageMargins left="0.4" right="0.4" top="0.5" bottom="0.5" header="0.5" footer="0.5"/>
  <pageSetup fitToHeight="0" fitToWidth="1" orientation="landscape" paperSize="9"/>
  <headerFooter>
    <oddFooter>&amp;L&amp;8 Linden &amp; Loom · Global Sales &amp; Operations Report FY2026&amp;R&amp;8 &amp;A · Page &amp;P of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008C7B67"/>
    <outlinePr summaryBelow="true" summaryRight="true"/>
    <pageSetUpPr fitToPage="true"/>
  </sheetPr>
  <dimension ref="A1:P24"/>
  <sheetViews>
    <sheetView showGridLines="false" workbookViewId="0">
      <pane activePane="bottomRight" state="frozen" topLeftCell="D7" xSplit="3" ySplit="6"/>
      <selection pane="topRight"/>
      <selection pane="bottomLeft"/>
      <selection activeCell="A1" pane="bottomRight" sqref="A1"/>
    </sheetView>
  </sheetViews>
  <sheetFormatPr baseColWidth="8" defaultRowHeight="15"/>
  <cols>
    <col customWidth="true" max="1" min="1" width="2.5"/>
    <col customWidth="true" max="2" min="2" width="13"/>
    <col customWidth="true" max="3" min="3" width="30"/>
    <col customWidth="true" max="4" min="4" width="16"/>
    <col customWidth="true" max="5" min="5" width="13"/>
    <col customWidth="true" max="6" min="6" width="26"/>
    <col customWidth="true" max="7" min="7" width="28"/>
    <col customWidth="true" max="8" min="8" width="10"/>
    <col customWidth="true" max="10" min="9" width="12"/>
    <col customWidth="true" max="12" min="11" width="11"/>
    <col customWidth="true" max="13" min="13" width="62"/>
    <col customWidth="true" max="14" min="14" width="48"/>
    <col customWidth="true" max="15" min="15" width="22"/>
    <col customWidth="true" max="16" min="16" width="2.5"/>
  </cols>
  <sheetData>
    <row r="1" ht="7" customHeight="true">
      <c r="A1" s="1" t="n"/>
      <c r="B1" s="1" t="n"/>
      <c r="C1" s="1" t="n"/>
      <c r="D1" s="1" t="n"/>
      <c r="E1" s="1" t="n"/>
      <c r="F1" s="1" t="n"/>
      <c r="G1" s="1" t="n"/>
      <c r="H1" s="1" t="n"/>
      <c r="I1" s="1" t="n"/>
      <c r="J1" s="1" t="n"/>
      <c r="K1" s="1" t="n"/>
      <c r="L1" s="1" t="n"/>
      <c r="M1" s="1" t="n"/>
      <c r="N1" s="1" t="n"/>
      <c r="O1" s="1" t="n"/>
      <c r="P1" s="1" t="n"/>
    </row>
    <row r="2" ht="22" customHeight="true">
      <c r="B2" s="53" t="s">
        <v>38</v>
      </c>
    </row>
    <row r="3" ht="32" customHeight="true">
      <c r="B3" s="54" t="s">
        <v>104</v>
      </c>
    </row>
    <row r="4" ht="30" customHeight="true">
      <c r="B4" s="55" t="s">
        <v>105</v>
      </c>
    </row>
    <row r="5" ht="10" customHeight="true"/>
    <row r="6" ht="34" customHeight="true">
      <c r="B6" s="56" t="inlineStr">
        <is>
          <t>SKU</t>
        </is>
      </c>
      <c r="C6" s="56" t="s">
        <v>106</v>
      </c>
      <c r="D6" s="56" t="s">
        <v>21</v>
      </c>
      <c r="E6" s="56" t="s">
        <v>107</v>
      </c>
      <c r="F6" s="56" t="s">
        <v>108</v>
      </c>
      <c r="G6" s="56" t="s">
        <v>109</v>
      </c>
      <c r="H6" s="56" t="s">
        <v>110</v>
      </c>
      <c r="I6" s="56" t="s">
        <v>111</v>
      </c>
      <c r="J6" s="56" t="s">
        <v>112</v>
      </c>
      <c r="K6" s="56" t="s">
        <v>7</v>
      </c>
      <c r="L6" s="56" t="s">
        <v>113</v>
      </c>
      <c r="M6" s="56" t="s">
        <v>114</v>
      </c>
      <c r="N6" s="56" t="s">
        <v>115</v>
      </c>
      <c r="O6" s="56" t="s">
        <v>116</v>
      </c>
    </row>
    <row r="7" ht="73" customHeight="true">
      <c r="B7" s="74" t="inlineStr">
        <is>
          <t>LL-LGT-101</t>
        </is>
      </c>
      <c r="C7" s="75" t="s">
        <v>117</v>
      </c>
      <c r="D7" s="76" t="s">
        <v>118</v>
      </c>
      <c r="E7" s="76" t="s">
        <v>119</v>
      </c>
      <c r="F7" s="76" t="s">
        <v>120</v>
      </c>
      <c r="G7" s="76" t="inlineStr">
        <is>
          <t>Ø 45 × H 32 cm</t>
        </is>
      </c>
      <c r="H7" s="77" t="n">
        <v>1.6</v>
      </c>
      <c r="I7" s="78" t="n">
        <v>189</v>
      </c>
      <c r="J7" s="78" t="n">
        <v>74</v>
      </c>
      <c r="K7" s="79">
        <f>IFERROR(1-J7/I7,0)</f>
        <v>0.608465608465609</v>
      </c>
      <c r="L7" s="80" t="s">
        <v>121</v>
      </c>
      <c r="M7" s="76" t="s">
        <v>122</v>
      </c>
      <c r="N7" s="76" t="s">
        <v>123</v>
      </c>
      <c r="O7" s="76" t="s">
        <v>124</v>
      </c>
    </row>
    <row r="8" ht="46.6" customHeight="true">
      <c r="B8" s="74" t="inlineStr">
        <is>
          <t>LL-LGT-104</t>
        </is>
      </c>
      <c r="C8" s="75" t="s">
        <v>125</v>
      </c>
      <c r="D8" s="76" t="s">
        <v>118</v>
      </c>
      <c r="E8" s="76" t="s">
        <v>126</v>
      </c>
      <c r="F8" s="76" t="s">
        <v>127</v>
      </c>
      <c r="G8" s="76" t="inlineStr">
        <is>
          <t>Ø 28 × H 46 cm</t>
        </is>
      </c>
      <c r="H8" s="77" t="n">
        <v>2.9</v>
      </c>
      <c r="I8" s="78" t="n">
        <v>149</v>
      </c>
      <c r="J8" s="78" t="n">
        <v>55</v>
      </c>
      <c r="K8" s="79">
        <f>IFERROR(1-J8/I8,0)</f>
        <v>0.630872483221477</v>
      </c>
      <c r="L8" s="80" t="s">
        <v>121</v>
      </c>
      <c r="M8" s="76" t="s">
        <v>128</v>
      </c>
      <c r="N8" s="76" t="s">
        <v>129</v>
      </c>
      <c r="O8" s="76" t="s">
        <v>130</v>
      </c>
    </row>
    <row r="9" ht="73" customHeight="true">
      <c r="B9" s="74" t="inlineStr">
        <is>
          <t>LL-LGT-112</t>
        </is>
      </c>
      <c r="C9" s="75" t="s">
        <v>131</v>
      </c>
      <c r="D9" s="76" t="s">
        <v>118</v>
      </c>
      <c r="E9" s="76" t="s">
        <v>132</v>
      </c>
      <c r="F9" s="76" t="s">
        <v>133</v>
      </c>
      <c r="G9" s="76" t="inlineStr">
        <is>
          <t>W 38 × H 152 cm</t>
        </is>
      </c>
      <c r="H9" s="77" t="n">
        <v>7.4</v>
      </c>
      <c r="I9" s="78" t="n">
        <v>329</v>
      </c>
      <c r="J9" s="78" t="n">
        <v>131</v>
      </c>
      <c r="K9" s="79">
        <f>IFERROR(1-J9/I9,0)</f>
        <v>0.601823708206687</v>
      </c>
      <c r="L9" s="80" t="s">
        <v>134</v>
      </c>
      <c r="M9" s="76" t="s">
        <v>135</v>
      </c>
      <c r="N9" s="76" t="s">
        <v>136</v>
      </c>
      <c r="O9" s="76" t="s">
        <v>137</v>
      </c>
    </row>
    <row r="10" ht="73" customHeight="true">
      <c r="B10" s="74" t="inlineStr">
        <is>
          <t>LL-TXT-201</t>
        </is>
      </c>
      <c r="C10" s="75" t="s">
        <v>138</v>
      </c>
      <c r="D10" s="76" t="s">
        <v>139</v>
      </c>
      <c r="E10" s="76" t="s">
        <v>140</v>
      </c>
      <c r="F10" s="76" t="s">
        <v>141</v>
      </c>
      <c r="G10" s="76" t="s">
        <v>142</v>
      </c>
      <c r="H10" s="77" t="n">
        <v>2.1</v>
      </c>
      <c r="I10" s="78" t="n">
        <v>219</v>
      </c>
      <c r="J10" s="78" t="n">
        <v>82</v>
      </c>
      <c r="K10" s="79">
        <f>IFERROR(1-J10/I10,0)</f>
        <v>0.625570776255708</v>
      </c>
      <c r="L10" s="80" t="s">
        <v>121</v>
      </c>
      <c r="M10" s="76" t="s">
        <v>143</v>
      </c>
      <c r="N10" s="76" t="s">
        <v>144</v>
      </c>
      <c r="O10" s="76" t="s">
        <v>145</v>
      </c>
    </row>
    <row r="11" ht="59.8" customHeight="true">
      <c r="B11" s="74" t="inlineStr">
        <is>
          <t>LL-TXT-205</t>
        </is>
      </c>
      <c r="C11" s="75" t="s">
        <v>146</v>
      </c>
      <c r="D11" s="76" t="s">
        <v>139</v>
      </c>
      <c r="E11" s="76" t="s">
        <v>147</v>
      </c>
      <c r="F11" s="76" t="s">
        <v>148</v>
      </c>
      <c r="G11" s="76" t="inlineStr">
        <is>
          <t>130 × 180 cm</t>
        </is>
      </c>
      <c r="H11" s="77" t="n">
        <v>1.1</v>
      </c>
      <c r="I11" s="78" t="n">
        <v>129</v>
      </c>
      <c r="J11" s="78" t="n">
        <v>46</v>
      </c>
      <c r="K11" s="79">
        <f>IFERROR(1-J11/I11,0)</f>
        <v>0.643410852713178</v>
      </c>
      <c r="L11" s="80" t="s">
        <v>121</v>
      </c>
      <c r="M11" s="76" t="s">
        <v>149</v>
      </c>
      <c r="N11" s="76" t="s">
        <v>150</v>
      </c>
      <c r="O11" s="76" t="s">
        <v>151</v>
      </c>
    </row>
    <row r="12" ht="33.4" customHeight="true">
      <c r="B12" s="74" t="inlineStr">
        <is>
          <t>LL-TXT-210</t>
        </is>
      </c>
      <c r="C12" s="75" t="s">
        <v>152</v>
      </c>
      <c r="D12" s="76" t="s">
        <v>139</v>
      </c>
      <c r="E12" s="76" t="s">
        <v>153</v>
      </c>
      <c r="F12" s="76" t="s">
        <v>154</v>
      </c>
      <c r="G12" s="76" t="inlineStr">
        <is>
          <t>50 × 50 cm</t>
        </is>
      </c>
      <c r="H12" s="77" t="n">
        <v>0.35</v>
      </c>
      <c r="I12" s="78" t="n">
        <v>39</v>
      </c>
      <c r="J12" s="78" t="n">
        <v>13</v>
      </c>
      <c r="K12" s="79">
        <f>IFERROR(1-J12/I12,0)</f>
        <v>0.666666666666667</v>
      </c>
      <c r="L12" s="80" t="s">
        <v>121</v>
      </c>
      <c r="M12" s="76" t="s">
        <v>155</v>
      </c>
      <c r="N12" s="76" t="s">
        <v>156</v>
      </c>
      <c r="O12" s="76" t="s">
        <v>157</v>
      </c>
    </row>
    <row r="13" ht="59.8" customHeight="true">
      <c r="B13" s="74" t="inlineStr">
        <is>
          <t>LL-TXT-214</t>
        </is>
      </c>
      <c r="C13" s="75" t="s">
        <v>158</v>
      </c>
      <c r="D13" s="76" t="s">
        <v>139</v>
      </c>
      <c r="E13" s="76" t="s">
        <v>159</v>
      </c>
      <c r="F13" s="76" t="s">
        <v>160</v>
      </c>
      <c r="G13" s="76" t="s">
        <v>161</v>
      </c>
      <c r="H13" s="77" t="n">
        <v>2.4</v>
      </c>
      <c r="I13" s="78" t="n">
        <v>79</v>
      </c>
      <c r="J13" s="78" t="n">
        <v>27</v>
      </c>
      <c r="K13" s="79">
        <f>IFERROR(1-J13/I13,0)</f>
        <v>0.658227848101266</v>
      </c>
      <c r="L13" s="80" t="s">
        <v>121</v>
      </c>
      <c r="M13" s="76" t="s">
        <v>162</v>
      </c>
      <c r="N13" s="76" t="s">
        <v>163</v>
      </c>
      <c r="O13" s="76" t="s">
        <v>164</v>
      </c>
    </row>
    <row r="14" ht="73" customHeight="true">
      <c r="B14" s="74" t="inlineStr">
        <is>
          <t>LL-FUR-301</t>
        </is>
      </c>
      <c r="C14" s="75" t="s">
        <v>165</v>
      </c>
      <c r="D14" s="76" t="s">
        <v>166</v>
      </c>
      <c r="E14" s="76" t="s">
        <v>167</v>
      </c>
      <c r="F14" s="76" t="s">
        <v>168</v>
      </c>
      <c r="G14" s="76" t="s">
        <v>169</v>
      </c>
      <c r="H14" s="77" t="n">
        <v>6.2</v>
      </c>
      <c r="I14" s="78" t="n">
        <v>245</v>
      </c>
      <c r="J14" s="78" t="n">
        <v>104</v>
      </c>
      <c r="K14" s="79">
        <f>IFERROR(1-J14/I14,0)</f>
        <v>0.575510204081633</v>
      </c>
      <c r="L14" s="80" t="s">
        <v>121</v>
      </c>
      <c r="M14" s="76" t="s">
        <v>170</v>
      </c>
      <c r="N14" s="76" t="s">
        <v>171</v>
      </c>
      <c r="O14" s="76" t="s">
        <v>172</v>
      </c>
    </row>
    <row r="15" ht="99.4" customHeight="true">
      <c r="B15" s="74" t="inlineStr">
        <is>
          <t>LL-FUR-305</t>
        </is>
      </c>
      <c r="C15" s="75" t="s">
        <v>173</v>
      </c>
      <c r="D15" s="76" t="s">
        <v>166</v>
      </c>
      <c r="E15" s="76" t="s">
        <v>174</v>
      </c>
      <c r="F15" s="76" t="s">
        <v>175</v>
      </c>
      <c r="G15" s="76" t="inlineStr">
        <is>
          <t>L 180–260 × W 95 × H 75 cm</t>
        </is>
      </c>
      <c r="H15" s="77" t="n">
        <v>68</v>
      </c>
      <c r="I15" s="78" t="n">
        <v>1490</v>
      </c>
      <c r="J15" s="78" t="n">
        <v>642</v>
      </c>
      <c r="K15" s="79">
        <f>IFERROR(1-J15/I15,0)</f>
        <v>0.569127516778524</v>
      </c>
      <c r="L15" s="80" t="s">
        <v>121</v>
      </c>
      <c r="M15" s="76" t="s">
        <v>176</v>
      </c>
      <c r="N15" s="76" t="s">
        <v>177</v>
      </c>
      <c r="O15" s="76" t="inlineStr">
        <is>
          <t>FSC®</t>
        </is>
      </c>
    </row>
    <row r="16" ht="46.6" customHeight="true">
      <c r="B16" s="74" t="inlineStr">
        <is>
          <t>LL-FUR-309</t>
        </is>
      </c>
      <c r="C16" s="75" t="s">
        <v>178</v>
      </c>
      <c r="D16" s="76" t="s">
        <v>166</v>
      </c>
      <c r="E16" s="76" t="s">
        <v>179</v>
      </c>
      <c r="F16" s="76" t="s">
        <v>180</v>
      </c>
      <c r="G16" s="76" t="inlineStr">
        <is>
          <t>W 72 × D 80 × H 74 cm</t>
        </is>
      </c>
      <c r="H16" s="77" t="n">
        <v>9.800000000000001</v>
      </c>
      <c r="I16" s="78" t="n">
        <v>690</v>
      </c>
      <c r="J16" s="78" t="n">
        <v>288</v>
      </c>
      <c r="K16" s="79">
        <f>IFERROR(1-J16/I16,0)</f>
        <v>0.582608695652174</v>
      </c>
      <c r="L16" s="80" t="s">
        <v>134</v>
      </c>
      <c r="M16" s="76" t="s">
        <v>181</v>
      </c>
      <c r="N16" s="76" t="s">
        <v>182</v>
      </c>
      <c r="O16" s="76" t="s">
        <v>183</v>
      </c>
    </row>
    <row r="17" ht="46.6" customHeight="true">
      <c r="B17" s="74" t="inlineStr">
        <is>
          <t>LL-FUR-316</t>
        </is>
      </c>
      <c r="C17" s="75" t="s">
        <v>184</v>
      </c>
      <c r="D17" s="76" t="s">
        <v>166</v>
      </c>
      <c r="E17" s="76" t="s">
        <v>185</v>
      </c>
      <c r="F17" s="76" t="s">
        <v>186</v>
      </c>
      <c r="G17" s="76" t="inlineStr">
        <is>
          <t>Ø 45 × H 50 cm</t>
        </is>
      </c>
      <c r="H17" s="77" t="n">
        <v>5.1</v>
      </c>
      <c r="I17" s="78" t="n">
        <v>280</v>
      </c>
      <c r="J17" s="78" t="n">
        <v>112</v>
      </c>
      <c r="K17" s="79">
        <f>IFERROR(1-J17/I17,0)</f>
        <v>0.6</v>
      </c>
      <c r="L17" s="80" t="s">
        <v>121</v>
      </c>
      <c r="M17" s="76" t="s">
        <v>187</v>
      </c>
      <c r="N17" s="76" t="s">
        <v>188</v>
      </c>
      <c r="O17" s="76" t="inlineStr">
        <is>
          <t>FSC®</t>
        </is>
      </c>
    </row>
    <row r="18" ht="59.8" customHeight="true">
      <c r="B18" s="74" t="inlineStr">
        <is>
          <t>LL-KIT-401</t>
        </is>
      </c>
      <c r="C18" s="75" t="s">
        <v>189</v>
      </c>
      <c r="D18" s="76" t="s">
        <v>190</v>
      </c>
      <c r="E18" s="76" t="s">
        <v>191</v>
      </c>
      <c r="F18" s="76" t="s">
        <v>192</v>
      </c>
      <c r="G18" s="76" t="s">
        <v>193</v>
      </c>
      <c r="H18" s="77" t="n">
        <v>9.199999999999999</v>
      </c>
      <c r="I18" s="78" t="n">
        <v>165</v>
      </c>
      <c r="J18" s="78" t="n">
        <v>58</v>
      </c>
      <c r="K18" s="79">
        <f>IFERROR(1-J18/I18,0)</f>
        <v>0.648484848484848</v>
      </c>
      <c r="L18" s="80" t="s">
        <v>121</v>
      </c>
      <c r="M18" s="76" t="s">
        <v>194</v>
      </c>
      <c r="N18" s="76" t="s">
        <v>195</v>
      </c>
      <c r="O18" s="76" t="s">
        <v>196</v>
      </c>
    </row>
    <row r="19" ht="73" customHeight="true">
      <c r="B19" s="74" t="inlineStr">
        <is>
          <t>LL-KIT-406</t>
        </is>
      </c>
      <c r="C19" s="75" t="s">
        <v>197</v>
      </c>
      <c r="D19" s="76" t="s">
        <v>190</v>
      </c>
      <c r="E19" s="76" t="s">
        <v>198</v>
      </c>
      <c r="F19" s="76" t="s">
        <v>199</v>
      </c>
      <c r="G19" s="76" t="s">
        <v>200</v>
      </c>
      <c r="H19" s="77" t="n">
        <v>5.3</v>
      </c>
      <c r="I19" s="78" t="n">
        <v>210</v>
      </c>
      <c r="J19" s="78" t="n">
        <v>79</v>
      </c>
      <c r="K19" s="79">
        <f>IFERROR(1-J19/I19,0)</f>
        <v>0.623809523809524</v>
      </c>
      <c r="L19" s="80" t="s">
        <v>121</v>
      </c>
      <c r="M19" s="76" t="s">
        <v>201</v>
      </c>
      <c r="N19" s="76" t="s">
        <v>202</v>
      </c>
      <c r="O19" s="76" t="inlineStr">
        <is>
          <t>LFGB</t>
        </is>
      </c>
    </row>
    <row r="20" ht="33.4" customHeight="true">
      <c r="B20" s="74" t="inlineStr">
        <is>
          <t>LL-KIT-410</t>
        </is>
      </c>
      <c r="C20" s="75" t="s">
        <v>203</v>
      </c>
      <c r="D20" s="76" t="s">
        <v>190</v>
      </c>
      <c r="E20" s="76" t="s">
        <v>204</v>
      </c>
      <c r="F20" s="76" t="s">
        <v>205</v>
      </c>
      <c r="G20" s="76" t="inlineStr">
        <is>
          <t>50 × 22 × 2 cm</t>
        </is>
      </c>
      <c r="H20" s="77" t="n">
        <v>1.3</v>
      </c>
      <c r="I20" s="78" t="n">
        <v>58</v>
      </c>
      <c r="J20" s="78" t="n">
        <v>19</v>
      </c>
      <c r="K20" s="79">
        <f>IFERROR(1-J20/I20,0)</f>
        <v>0.672413793103448</v>
      </c>
      <c r="L20" s="80" t="s">
        <v>121</v>
      </c>
      <c r="M20" s="76" t="s">
        <v>206</v>
      </c>
      <c r="N20" s="76" t="s">
        <v>207</v>
      </c>
      <c r="O20" s="76" t="inlineStr">
        <is>
          <t>FSC®</t>
        </is>
      </c>
    </row>
    <row r="21" ht="46.6" customHeight="true">
      <c r="B21" s="74" t="inlineStr">
        <is>
          <t>LL-DEC-501</t>
        </is>
      </c>
      <c r="C21" s="75" t="s">
        <v>208</v>
      </c>
      <c r="D21" s="76" t="s">
        <v>209</v>
      </c>
      <c r="E21" s="76" t="s">
        <v>210</v>
      </c>
      <c r="F21" s="76" t="s">
        <v>211</v>
      </c>
      <c r="G21" s="76" t="inlineStr">
        <is>
          <t>Ø 16 × H 30 cm</t>
        </is>
      </c>
      <c r="H21" s="77" t="n">
        <v>1.4</v>
      </c>
      <c r="I21" s="78" t="n">
        <v>64</v>
      </c>
      <c r="J21" s="78" t="n">
        <v>21</v>
      </c>
      <c r="K21" s="79">
        <f>IFERROR(1-J21/I21,0)</f>
        <v>0.671875</v>
      </c>
      <c r="L21" s="80" t="s">
        <v>212</v>
      </c>
      <c r="M21" s="76" t="s">
        <v>213</v>
      </c>
      <c r="N21" s="76" t="s">
        <v>214</v>
      </c>
      <c r="O21" s="76" t="inlineStr">
        <is>
          <t>—</t>
        </is>
      </c>
    </row>
    <row r="22" ht="73" customHeight="true">
      <c r="B22" s="74" t="inlineStr">
        <is>
          <t>LL-DEC-507</t>
        </is>
      </c>
      <c r="C22" s="75" t="s">
        <v>215</v>
      </c>
      <c r="D22" s="76" t="s">
        <v>209</v>
      </c>
      <c r="E22" s="76" t="s">
        <v>216</v>
      </c>
      <c r="F22" s="76" t="s">
        <v>217</v>
      </c>
      <c r="G22" s="76" t="s">
        <v>218</v>
      </c>
      <c r="H22" s="77" t="n">
        <v>14.5</v>
      </c>
      <c r="I22" s="78" t="n">
        <v>540</v>
      </c>
      <c r="J22" s="78" t="n">
        <v>214</v>
      </c>
      <c r="K22" s="79">
        <f>IFERROR(1-J22/I22,0)</f>
        <v>0.603703703703704</v>
      </c>
      <c r="L22" s="80" t="s">
        <v>121</v>
      </c>
      <c r="M22" s="76" t="s">
        <v>219</v>
      </c>
      <c r="N22" s="76" t="s">
        <v>220</v>
      </c>
      <c r="O22" s="76" t="inlineStr">
        <is>
          <t>GoodWeave</t>
        </is>
      </c>
    </row>
    <row r="23"/>
    <row r="24" ht="28" customHeight="true">
      <c r="B24" s="50" t="s">
        <v>221</v>
      </c>
    </row>
  </sheetData>
  <autoFilter ref="B6:O22"/>
  <mergeCells count="2">
    <mergeCell ref="B24:O24"/>
    <mergeCell ref="B4:O4"/>
  </mergeCells>
  <conditionalFormatting sqref="B7:O22">
    <cfRule type="expression" dxfId="3" priority="1">
      <formula>MOD(ROW(),2)=0</formula>
    </cfRule>
  </conditionalFormatting>
  <conditionalFormatting sqref="L7:L22">
    <cfRule type="expression" dxfId="4" priority="2">
      <formula>L7="New"</formula>
    </cfRule>
  </conditionalFormatting>
  <conditionalFormatting sqref="K7:K22">
    <cfRule type="cellIs" dxfId="4" priority="3" operator="lessThan">
      <formula>0.55</formula>
    </cfRule>
  </conditionalFormatting>
  <dataValidations count="1">
    <dataValidation allowBlank="false" sqref="L7:L22" type="list">
      <formula1>"Core,New,Seasonal"</formula1>
    </dataValidation>
  </dataValidations>
  <pageMargins left="0.4" right="0.4" top="0.5" bottom="0.5" header="0.5" footer="0.5"/>
  <pageSetup fitToHeight="0" fitToWidth="1" orientation="landscape" paperSize="9"/>
  <headerFooter>
    <oddFooter>&amp;L&amp;8 Linden &amp; Loom · Global Sales &amp; Operations Report FY2026&amp;R&amp;8 &amp;A · 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008C7B67"/>
    <outlinePr summaryBelow="true" summaryRight="true"/>
    <pageSetUpPr fitToPage="true"/>
  </sheetPr>
  <dimension ref="A1:S107"/>
  <sheetViews>
    <sheetView showGridLines="false" workbookViewId="0">
      <pane activePane="bottomRight" state="frozen" topLeftCell="C8" xSplit="2" ySplit="7"/>
      <selection pane="topRight"/>
      <selection pane="bottomLeft"/>
      <selection activeCell="A1" pane="bottomRight" sqref="A1"/>
    </sheetView>
  </sheetViews>
  <sheetFormatPr baseColWidth="8" defaultRowHeight="15"/>
  <cols>
    <col customWidth="true" max="1" min="1" width="2.5"/>
    <col customWidth="true" max="2" min="2" width="12"/>
    <col customWidth="true" max="3" min="3" width="12.5"/>
    <col customWidth="true" max="4" min="4" width="28"/>
    <col customWidth="true" max="5" min="5" width="15"/>
    <col customWidth="true" max="6" min="6" width="19"/>
    <col customWidth="true" max="7" min="7" width="12"/>
    <col customWidth="true" max="8" min="8" width="32"/>
    <col customWidth="true" max="9" min="9" width="16"/>
    <col customWidth="true" max="10" min="10" width="9"/>
    <col customWidth="true" max="11" min="11" width="9.5"/>
    <col customWidth="true" max="12" min="12" width="13"/>
    <col customWidth="true" max="13" min="13" width="10"/>
    <col customWidth="true" max="15" min="14" width="15"/>
    <col customWidth="true" max="16" min="16" width="14"/>
    <col customWidth="true" max="17" min="17" width="12.5"/>
    <col customWidth="true" max="18" min="18" width="50"/>
    <col customWidth="true" max="19" min="19" width="2.5"/>
  </cols>
  <sheetData>
    <row r="1" ht="7" customHeight="true">
      <c r="A1" s="1" t="n"/>
      <c r="B1" s="1" t="n"/>
      <c r="C1" s="1" t="n"/>
      <c r="D1" s="1" t="n"/>
      <c r="E1" s="1" t="n"/>
      <c r="F1" s="1" t="n"/>
      <c r="G1" s="1" t="n"/>
      <c r="H1" s="1" t="n"/>
      <c r="I1" s="1" t="n"/>
      <c r="J1" s="1" t="n"/>
      <c r="K1" s="1" t="n"/>
      <c r="L1" s="1" t="n"/>
      <c r="M1" s="1" t="n"/>
      <c r="N1" s="1" t="n"/>
      <c r="O1" s="1" t="n"/>
      <c r="P1" s="1" t="n"/>
      <c r="Q1" s="1" t="n"/>
      <c r="R1" s="1" t="n"/>
      <c r="S1" s="1" t="n"/>
    </row>
    <row r="2" ht="22" customHeight="true">
      <c r="B2" s="53" t="s">
        <v>38</v>
      </c>
    </row>
    <row r="3" ht="32" customHeight="true">
      <c r="B3" s="54" t="s">
        <v>222</v>
      </c>
    </row>
    <row r="4" ht="30" customHeight="true">
      <c r="B4" s="55" t="s">
        <v>223</v>
      </c>
    </row>
    <row r="5" ht="24" customHeight="true">
      <c r="B5" s="81" t="s">
        <v>224</v>
      </c>
      <c r="C5" s="82">
        <f>SUBTOTAL(103,B8:B107)</f>
        <v>100</v>
      </c>
      <c r="D5" s="83" t="s">
        <v>225</v>
      </c>
      <c r="E5" s="84">
        <f>SUMPRODUCT(SUBTOTAL(109,OFFSET(O8,ROW(O8:O107)-ROW(O8),0)),--(P8:P107&lt;&gt;$P$5))</f>
        <v>2256438.67</v>
      </c>
      <c r="K5" s="83" t="s">
        <v>226</v>
      </c>
      <c r="L5" s="85" t="s">
        <v>227</v>
      </c>
      <c r="M5" s="86" t="s">
        <v>228</v>
      </c>
      <c r="N5" s="87" t="s">
        <v>229</v>
      </c>
      <c r="O5" s="88" t="s">
        <v>230</v>
      </c>
      <c r="P5" s="89" t="s">
        <v>10</v>
      </c>
    </row>
    <row r="6" ht="8" customHeight="true"/>
    <row r="7" ht="34" customHeight="true">
      <c r="B7" s="56" t="s">
        <v>231</v>
      </c>
      <c r="C7" s="56" t="s">
        <v>232</v>
      </c>
      <c r="D7" s="56" t="s">
        <v>233</v>
      </c>
      <c r="E7" s="56" t="s">
        <v>42</v>
      </c>
      <c r="F7" s="56" t="s">
        <v>234</v>
      </c>
      <c r="G7" s="56" t="inlineStr">
        <is>
          <t>SKU</t>
        </is>
      </c>
      <c r="H7" s="56" t="s">
        <v>235</v>
      </c>
      <c r="I7" s="56" t="s">
        <v>21</v>
      </c>
      <c r="J7" s="56" t="s">
        <v>236</v>
      </c>
      <c r="K7" s="56" t="s">
        <v>44</v>
      </c>
      <c r="L7" s="56" t="s">
        <v>237</v>
      </c>
      <c r="M7" s="56" t="s">
        <v>238</v>
      </c>
      <c r="N7" s="56" t="s">
        <v>239</v>
      </c>
      <c r="O7" s="56" t="s">
        <v>240</v>
      </c>
      <c r="P7" s="56" t="s">
        <v>241</v>
      </c>
      <c r="Q7" s="56" t="s">
        <v>242</v>
      </c>
      <c r="R7" s="56" t="s">
        <v>243</v>
      </c>
    </row>
    <row r="8" ht="34.4" customHeight="true">
      <c r="B8" s="90" t="inlineStr">
        <is>
          <t>SO-26-1041</t>
        </is>
      </c>
      <c r="C8" s="91" t="n">
        <v>46023</v>
      </c>
      <c r="D8" s="76" t="s">
        <v>244</v>
      </c>
      <c r="E8" s="92" t="s">
        <v>52</v>
      </c>
      <c r="F8" s="92" t="s">
        <v>245</v>
      </c>
      <c r="G8" s="92" t="inlineStr">
        <is>
          <t>LL-TXT-210</t>
        </is>
      </c>
      <c r="H8" s="76" t="str">
        <f>IFERROR(INDEX('Product Catalog'!$C$7:$C$22,MATCH(G8,'Product Catalog'!$B$7:$B$22,0)),"")</f>
        <v>Marlow Hand-Loomed Cushion Cover</v>
      </c>
      <c r="I8" s="92" t="str">
        <f>IFERROR(INDEX('Product Catalog'!$D$7:$D$22,MATCH(G8,'Product Catalog'!$B$7:$B$22,0)),"")</f>
        <v>Textiles</v>
      </c>
      <c r="J8" s="93" t="n">
        <v>960</v>
      </c>
      <c r="K8" s="80" t="str">
        <f>IFERROR(INDEX('Regional Markets'!$D$8:$D$15,MATCH(E8,'Regional Markets'!$B$8:$B$15,0)),"")</f>
        <v>USD</v>
      </c>
      <c r="L8" s="94">
        <f>ROUND(INDEX('Product Catalog'!$I$7:$I$22,MATCH(G8,'Product Catalog'!$B$7:$B$22,0))*INDEX('Regional Markets'!$E$8:$E$15,MATCH(E8,'Regional Markets'!$B$8:$B$15,0)),IF(K8="JPY",0,2))</f>
        <v>39</v>
      </c>
      <c r="M8" s="79" t="n">
        <v>0.13</v>
      </c>
      <c r="N8" s="94">
        <f>J8*L8*(1-M8)</f>
        <v>32572.8</v>
      </c>
      <c r="O8" s="78">
        <f>N8/INDEX('Regional Markets'!$E$8:$E$15,MATCH(E8,'Regional Markets'!$B$8:$B$15,0))</f>
        <v>32572.8</v>
      </c>
      <c r="P8" s="80" t="s">
        <v>227</v>
      </c>
      <c r="Q8" s="91" t="n">
        <v>46055</v>
      </c>
      <c r="R8" s="76" t="s">
        <v>246</v>
      </c>
    </row>
    <row r="9" ht="34.4" customHeight="true">
      <c r="B9" s="90" t="inlineStr">
        <is>
          <t>SO-26-1042</t>
        </is>
      </c>
      <c r="C9" s="91" t="n">
        <v>46024</v>
      </c>
      <c r="D9" s="76" t="inlineStr">
        <is>
          <t>Galeries Ombre</t>
        </is>
      </c>
      <c r="E9" s="92" t="s">
        <v>58</v>
      </c>
      <c r="F9" s="92" t="s">
        <v>247</v>
      </c>
      <c r="G9" s="92" t="inlineStr">
        <is>
          <t>LL-DEC-507</t>
        </is>
      </c>
      <c r="H9" s="76" t="str">
        <f>IFERROR(INDEX('Product Catalog'!$C$7:$C$22,MATCH(G9,'Product Catalog'!$B$7:$B$22,0)),"")</f>
        <v>Tarn Wool Area Rug</v>
      </c>
      <c r="I9" s="92" t="str">
        <f>IFERROR(INDEX('Product Catalog'!$D$7:$D$22,MATCH(G9,'Product Catalog'!$B$7:$B$22,0)),"")</f>
        <v>Decor &amp; Rugs</v>
      </c>
      <c r="J9" s="93" t="n">
        <v>56</v>
      </c>
      <c r="K9" s="80" t="str">
        <f>IFERROR(INDEX('Regional Markets'!$D$8:$D$15,MATCH(E9,'Regional Markets'!$B$8:$B$15,0)),"")</f>
        <v>EUR</v>
      </c>
      <c r="L9" s="94">
        <f>ROUND(INDEX('Product Catalog'!$I$7:$I$22,MATCH(G9,'Product Catalog'!$B$7:$B$22,0))*INDEX('Regional Markets'!$E$8:$E$15,MATCH(E9,'Regional Markets'!$B$8:$B$15,0)),IF(K9="JPY",0,2))</f>
        <v>496.8</v>
      </c>
      <c r="M9" s="79" t="n">
        <v>0.115</v>
      </c>
      <c r="N9" s="94">
        <f>J9*L9*(1-M9)</f>
        <v>24621.408</v>
      </c>
      <c r="O9" s="78">
        <f>N9/INDEX('Regional Markets'!$E$8:$E$15,MATCH(E9,'Regional Markets'!$B$8:$B$15,0))</f>
        <v>26762.4</v>
      </c>
      <c r="P9" s="80" t="s">
        <v>227</v>
      </c>
      <c r="Q9" s="91" t="n">
        <v>46066</v>
      </c>
      <c r="R9" s="76" t="s">
        <v>248</v>
      </c>
    </row>
    <row r="10" ht="34.4" customHeight="true">
      <c r="B10" s="90" t="inlineStr">
        <is>
          <t>SO-26-1043</t>
        </is>
      </c>
      <c r="C10" s="91" t="n">
        <v>46027</v>
      </c>
      <c r="D10" s="76" t="inlineStr">
        <is>
          <t>Hinoki Living</t>
        </is>
      </c>
      <c r="E10" s="92" t="s">
        <v>60</v>
      </c>
      <c r="F10" s="92" t="s">
        <v>249</v>
      </c>
      <c r="G10" s="92" t="inlineStr">
        <is>
          <t>LL-TXT-210</t>
        </is>
      </c>
      <c r="H10" s="76" t="str">
        <f>IFERROR(INDEX('Product Catalog'!$C$7:$C$22,MATCH(G10,'Product Catalog'!$B$7:$B$22,0)),"")</f>
        <v>Marlow Hand-Loomed Cushion Cover</v>
      </c>
      <c r="I10" s="92" t="str">
        <f>IFERROR(INDEX('Product Catalog'!$D$7:$D$22,MATCH(G10,'Product Catalog'!$B$7:$B$22,0)),"")</f>
        <v>Textiles</v>
      </c>
      <c r="J10" s="93" t="n">
        <v>744</v>
      </c>
      <c r="K10" s="80" t="str">
        <f>IFERROR(INDEX('Regional Markets'!$D$8:$D$15,MATCH(E10,'Regional Markets'!$B$8:$B$15,0)),"")</f>
        <v>JPY</v>
      </c>
      <c r="L10" s="94">
        <f>ROUND(INDEX('Product Catalog'!$I$7:$I$22,MATCH(G10,'Product Catalog'!$B$7:$B$22,0))*INDEX('Regional Markets'!$E$8:$E$15,MATCH(E10,'Regional Markets'!$B$8:$B$15,0)),IF(K10="JPY",0,2))</f>
        <v>5772</v>
      </c>
      <c r="M10" s="79" t="n">
        <v>0.04</v>
      </c>
      <c r="N10" s="94">
        <f>J10*L10*(1-M10)</f>
        <v>4122593.28</v>
      </c>
      <c r="O10" s="78">
        <f>N10/INDEX('Regional Markets'!$E$8:$E$15,MATCH(E10,'Regional Markets'!$B$8:$B$15,0))</f>
        <v>27855.36</v>
      </c>
      <c r="P10" s="80" t="s">
        <v>227</v>
      </c>
      <c r="Q10" s="91" t="n">
        <v>46062</v>
      </c>
      <c r="R10" s="76" t="s">
        <v>250</v>
      </c>
    </row>
    <row r="11" ht="34.4" customHeight="true">
      <c r="B11" s="90" t="inlineStr">
        <is>
          <t>SO-26-1044</t>
        </is>
      </c>
      <c r="C11" s="91" t="n">
        <v>46041</v>
      </c>
      <c r="D11" s="76" t="inlineStr">
        <is>
          <t>Nestwell Online</t>
        </is>
      </c>
      <c r="E11" s="92" t="s">
        <v>52</v>
      </c>
      <c r="F11" s="92" t="s">
        <v>249</v>
      </c>
      <c r="G11" s="92" t="inlineStr">
        <is>
          <t>LL-DEC-501</t>
        </is>
      </c>
      <c r="H11" s="76" t="str">
        <f>IFERROR(INDEX('Product Catalog'!$C$7:$C$22,MATCH(G11,'Product Catalog'!$B$7:$B$22,0)),"")</f>
        <v>Lumi Recycled Glass Vase</v>
      </c>
      <c r="I11" s="92" t="str">
        <f>IFERROR(INDEX('Product Catalog'!$D$7:$D$22,MATCH(G11,'Product Catalog'!$B$7:$B$22,0)),"")</f>
        <v>Decor &amp; Rugs</v>
      </c>
      <c r="J11" s="93" t="n">
        <v>744</v>
      </c>
      <c r="K11" s="80" t="str">
        <f>IFERROR(INDEX('Regional Markets'!$D$8:$D$15,MATCH(E11,'Regional Markets'!$B$8:$B$15,0)),"")</f>
        <v>USD</v>
      </c>
      <c r="L11" s="94">
        <f>ROUND(INDEX('Product Catalog'!$I$7:$I$22,MATCH(G11,'Product Catalog'!$B$7:$B$22,0))*INDEX('Regional Markets'!$E$8:$E$15,MATCH(E11,'Regional Markets'!$B$8:$B$15,0)),IF(K11="JPY",0,2))</f>
        <v>64</v>
      </c>
      <c r="M11" s="79" t="n">
        <v>0.025</v>
      </c>
      <c r="N11" s="94">
        <f>J11*L11*(1-M11)</f>
        <v>46425.6</v>
      </c>
      <c r="O11" s="78">
        <f>N11/INDEX('Regional Markets'!$E$8:$E$15,MATCH(E11,'Regional Markets'!$B$8:$B$15,0))</f>
        <v>46425.6</v>
      </c>
      <c r="P11" s="80" t="s">
        <v>227</v>
      </c>
      <c r="Q11" s="91" t="n">
        <v>46072</v>
      </c>
      <c r="R11" s="76" t="s">
        <v>251</v>
      </c>
    </row>
    <row r="12" ht="34.4" customHeight="true">
      <c r="B12" s="90" t="inlineStr">
        <is>
          <t>SO-26-1045</t>
        </is>
      </c>
      <c r="C12" s="91" t="n">
        <v>46042</v>
      </c>
      <c r="D12" s="76" t="inlineStr">
        <is>
          <t>Nordlicht Interiors</t>
        </is>
      </c>
      <c r="E12" s="92" t="s">
        <v>57</v>
      </c>
      <c r="F12" s="92" t="s">
        <v>249</v>
      </c>
      <c r="G12" s="92" t="inlineStr">
        <is>
          <t>LL-KIT-406</t>
        </is>
      </c>
      <c r="H12" s="76" t="str">
        <f>IFERROR(INDEX('Product Catalog'!$C$7:$C$22,MATCH(G12,'Product Catalog'!$B$7:$B$22,0)),"")</f>
        <v>Aska Enamelled Cast Iron Casserole</v>
      </c>
      <c r="I12" s="92" t="str">
        <f>IFERROR(INDEX('Product Catalog'!$D$7:$D$22,MATCH(G12,'Product Catalog'!$B$7:$B$22,0)),"")</f>
        <v>Kitchen &amp; Dining</v>
      </c>
      <c r="J12" s="93" t="n">
        <v>52</v>
      </c>
      <c r="K12" s="80" t="str">
        <f>IFERROR(INDEX('Regional Markets'!$D$8:$D$15,MATCH(E12,'Regional Markets'!$B$8:$B$15,0)),"")</f>
        <v>EUR</v>
      </c>
      <c r="L12" s="94">
        <f>ROUND(INDEX('Product Catalog'!$I$7:$I$22,MATCH(G12,'Product Catalog'!$B$7:$B$22,0))*INDEX('Regional Markets'!$E$8:$E$15,MATCH(E12,'Regional Markets'!$B$8:$B$15,0)),IF(K12="JPY",0,2))</f>
        <v>193.2</v>
      </c>
      <c r="M12" s="79" t="n">
        <v>0.05</v>
      </c>
      <c r="N12" s="94">
        <f>J12*L12*(1-M12)</f>
        <v>9544.08</v>
      </c>
      <c r="O12" s="78">
        <f>N12/INDEX('Regional Markets'!$E$8:$E$15,MATCH(E12,'Regional Markets'!$B$8:$B$15,0))</f>
        <v>10374</v>
      </c>
      <c r="P12" s="80" t="s">
        <v>227</v>
      </c>
      <c r="Q12" s="91" t="n">
        <v>46065</v>
      </c>
      <c r="R12" s="76" t="s">
        <v>252</v>
      </c>
    </row>
    <row r="13" ht="34.4" customHeight="true">
      <c r="B13" s="90" t="inlineStr">
        <is>
          <t>SO-26-1046</t>
        </is>
      </c>
      <c r="C13" s="91" t="n">
        <v>46048</v>
      </c>
      <c r="D13" s="76" t="inlineStr">
        <is>
          <t>Saltbush Home</t>
        </is>
      </c>
      <c r="E13" s="92" t="s">
        <v>62</v>
      </c>
      <c r="F13" s="92" t="s">
        <v>253</v>
      </c>
      <c r="G13" s="92" t="inlineStr">
        <is>
          <t>LL-KIT-410</t>
        </is>
      </c>
      <c r="H13" s="76" t="str">
        <f>IFERROR(INDEX('Product Catalog'!$C$7:$C$22,MATCH(G13,'Product Catalog'!$B$7:$B$22,0)),"")</f>
        <v>Rune Acacia Serving Board</v>
      </c>
      <c r="I13" s="92" t="str">
        <f>IFERROR(INDEX('Product Catalog'!$D$7:$D$22,MATCH(G13,'Product Catalog'!$B$7:$B$22,0)),"")</f>
        <v>Kitchen &amp; Dining</v>
      </c>
      <c r="J13" s="93" t="n">
        <v>648</v>
      </c>
      <c r="K13" s="80" t="str">
        <f>IFERROR(INDEX('Regional Markets'!$D$8:$D$15,MATCH(E13,'Regional Markets'!$B$8:$B$15,0)),"")</f>
        <v>AUD</v>
      </c>
      <c r="L13" s="94">
        <f>ROUND(INDEX('Product Catalog'!$I$7:$I$22,MATCH(G13,'Product Catalog'!$B$7:$B$22,0))*INDEX('Regional Markets'!$E$8:$E$15,MATCH(E13,'Regional Markets'!$B$8:$B$15,0)),IF(K13="JPY",0,2))</f>
        <v>88.16</v>
      </c>
      <c r="M13" s="79" t="n">
        <v>0.08</v>
      </c>
      <c r="N13" s="94">
        <f>J13*L13*(1-M13)</f>
        <v>52557.4656</v>
      </c>
      <c r="O13" s="78">
        <f>N13/INDEX('Regional Markets'!$E$8:$E$15,MATCH(E13,'Regional Markets'!$B$8:$B$15,0))</f>
        <v>34577.28</v>
      </c>
      <c r="P13" s="80" t="s">
        <v>227</v>
      </c>
      <c r="Q13" s="91" t="n">
        <v>46090</v>
      </c>
      <c r="R13" s="76" t="s">
        <v>254</v>
      </c>
    </row>
    <row r="14" ht="34.4" customHeight="true">
      <c r="B14" s="90" t="inlineStr">
        <is>
          <t>SO-26-1047</t>
        </is>
      </c>
      <c r="C14" s="91" t="n">
        <v>46049</v>
      </c>
      <c r="D14" s="76" t="inlineStr">
        <is>
          <t>Kew Lane Living</t>
        </is>
      </c>
      <c r="E14" s="92" t="s">
        <v>55</v>
      </c>
      <c r="F14" s="92" t="s">
        <v>253</v>
      </c>
      <c r="G14" s="92" t="inlineStr">
        <is>
          <t>LL-KIT-410</t>
        </is>
      </c>
      <c r="H14" s="76" t="str">
        <f>IFERROR(INDEX('Product Catalog'!$C$7:$C$22,MATCH(G14,'Product Catalog'!$B$7:$B$22,0)),"")</f>
        <v>Rune Acacia Serving Board</v>
      </c>
      <c r="I14" s="92" t="str">
        <f>IFERROR(INDEX('Product Catalog'!$D$7:$D$22,MATCH(G14,'Product Catalog'!$B$7:$B$22,0)),"")</f>
        <v>Kitchen &amp; Dining</v>
      </c>
      <c r="J14" s="93" t="n">
        <v>720</v>
      </c>
      <c r="K14" s="80" t="str">
        <f>IFERROR(INDEX('Regional Markets'!$D$8:$D$15,MATCH(E14,'Regional Markets'!$B$8:$B$15,0)),"")</f>
        <v>GBP</v>
      </c>
      <c r="L14" s="94">
        <f>ROUND(INDEX('Product Catalog'!$I$7:$I$22,MATCH(G14,'Product Catalog'!$B$7:$B$22,0))*INDEX('Regional Markets'!$E$8:$E$15,MATCH(E14,'Regional Markets'!$B$8:$B$15,0)),IF(K14="JPY",0,2))</f>
        <v>45.24</v>
      </c>
      <c r="M14" s="79" t="n">
        <v>0.055</v>
      </c>
      <c r="N14" s="94">
        <f>J14*L14*(1-M14)</f>
        <v>30781.296</v>
      </c>
      <c r="O14" s="78">
        <f>N14/INDEX('Regional Markets'!$E$8:$E$15,MATCH(E14,'Regional Markets'!$B$8:$B$15,0))</f>
        <v>39463.2</v>
      </c>
      <c r="P14" s="80" t="s">
        <v>227</v>
      </c>
      <c r="Q14" s="91" t="n">
        <v>46083</v>
      </c>
      <c r="R14" s="76" t="s">
        <v>255</v>
      </c>
    </row>
    <row r="15" ht="34.4" customHeight="true">
      <c r="B15" s="90" t="inlineStr">
        <is>
          <t>SO-26-1048</t>
        </is>
      </c>
      <c r="C15" s="91" t="n">
        <v>46050</v>
      </c>
      <c r="D15" s="76" t="inlineStr">
        <is>
          <t>Harbor &amp; Pine Home</t>
        </is>
      </c>
      <c r="E15" s="92" t="s">
        <v>52</v>
      </c>
      <c r="F15" s="92" t="s">
        <v>253</v>
      </c>
      <c r="G15" s="92" t="inlineStr">
        <is>
          <t>LL-FUR-301</t>
        </is>
      </c>
      <c r="H15" s="76" t="str">
        <f>IFERROR(INDEX('Product Catalog'!$C$7:$C$22,MATCH(G15,'Product Catalog'!$B$7:$B$22,0)),"")</f>
        <v>Tove Solid Oak Dining Chair</v>
      </c>
      <c r="I15" s="92" t="str">
        <f>IFERROR(INDEX('Product Catalog'!$D$7:$D$22,MATCH(G15,'Product Catalog'!$B$7:$B$22,0)),"")</f>
        <v>Furniture</v>
      </c>
      <c r="J15" s="93" t="n">
        <v>40</v>
      </c>
      <c r="K15" s="80" t="str">
        <f>IFERROR(INDEX('Regional Markets'!$D$8:$D$15,MATCH(E15,'Regional Markets'!$B$8:$B$15,0)),"")</f>
        <v>USD</v>
      </c>
      <c r="L15" s="94">
        <f>ROUND(INDEX('Product Catalog'!$I$7:$I$22,MATCH(G15,'Product Catalog'!$B$7:$B$22,0))*INDEX('Regional Markets'!$E$8:$E$15,MATCH(E15,'Regional Markets'!$B$8:$B$15,0)),IF(K15="JPY",0,2))</f>
        <v>245</v>
      </c>
      <c r="M15" s="79" t="n">
        <v>0.05</v>
      </c>
      <c r="N15" s="94">
        <f>J15*L15*(1-M15)</f>
        <v>9310</v>
      </c>
      <c r="O15" s="78">
        <f>N15/INDEX('Regional Markets'!$E$8:$E$15,MATCH(E15,'Regional Markets'!$B$8:$B$15,0))</f>
        <v>9310</v>
      </c>
      <c r="P15" s="80" t="s">
        <v>227</v>
      </c>
      <c r="Q15" s="91" t="n">
        <v>46079</v>
      </c>
      <c r="R15" s="76" t="s">
        <v>256</v>
      </c>
    </row>
    <row r="16" ht="34.4" customHeight="true">
      <c r="B16" s="90" t="inlineStr">
        <is>
          <t>SO-26-1049</t>
        </is>
      </c>
      <c r="C16" s="91" t="n">
        <v>46055</v>
      </c>
      <c r="D16" s="76" t="inlineStr">
        <is>
          <t>Westfield Living Co.</t>
        </is>
      </c>
      <c r="E16" s="92" t="s">
        <v>52</v>
      </c>
      <c r="F16" s="92" t="s">
        <v>247</v>
      </c>
      <c r="G16" s="92" t="inlineStr">
        <is>
          <t>LL-LGT-104</t>
        </is>
      </c>
      <c r="H16" s="76" t="str">
        <f>IFERROR(INDEX('Product Catalog'!$C$7:$C$22,MATCH(G16,'Product Catalog'!$B$7:$B$22,0)),"")</f>
        <v>Sora Ceramic Table Lamp</v>
      </c>
      <c r="I16" s="92" t="str">
        <f>IFERROR(INDEX('Product Catalog'!$D$7:$D$22,MATCH(G16,'Product Catalog'!$B$7:$B$22,0)),"")</f>
        <v>Lighting</v>
      </c>
      <c r="J16" s="93" t="n">
        <v>276</v>
      </c>
      <c r="K16" s="80" t="str">
        <f>IFERROR(INDEX('Regional Markets'!$D$8:$D$15,MATCH(E16,'Regional Markets'!$B$8:$B$15,0)),"")</f>
        <v>USD</v>
      </c>
      <c r="L16" s="94">
        <f>ROUND(INDEX('Product Catalog'!$I$7:$I$22,MATCH(G16,'Product Catalog'!$B$7:$B$22,0))*INDEX('Regional Markets'!$E$8:$E$15,MATCH(E16,'Regional Markets'!$B$8:$B$15,0)),IF(K16="JPY",0,2))</f>
        <v>149</v>
      </c>
      <c r="M16" s="79" t="n">
        <v>0.125</v>
      </c>
      <c r="N16" s="94">
        <f>J16*L16*(1-M16)</f>
        <v>35983.5</v>
      </c>
      <c r="O16" s="78">
        <f>N16/INDEX('Regional Markets'!$E$8:$E$15,MATCH(E16,'Regional Markets'!$B$8:$B$15,0))</f>
        <v>35983.5</v>
      </c>
      <c r="P16" s="80" t="s">
        <v>227</v>
      </c>
      <c r="Q16" s="91" t="n">
        <v>46083</v>
      </c>
      <c r="R16" s="76" t="s">
        <v>257</v>
      </c>
    </row>
    <row r="17" ht="34.4" customHeight="true">
      <c r="B17" s="90" t="inlineStr">
        <is>
          <t>SO-26-1050</t>
        </is>
      </c>
      <c r="C17" s="91" t="n">
        <v>46055</v>
      </c>
      <c r="D17" s="76" t="inlineStr">
        <is>
          <t>Westfield Living Co.</t>
        </is>
      </c>
      <c r="E17" s="92" t="s">
        <v>52</v>
      </c>
      <c r="F17" s="92" t="s">
        <v>247</v>
      </c>
      <c r="G17" s="92" t="inlineStr">
        <is>
          <t>LL-KIT-406</t>
        </is>
      </c>
      <c r="H17" s="76" t="str">
        <f>IFERROR(INDEX('Product Catalog'!$C$7:$C$22,MATCH(G17,'Product Catalog'!$B$7:$B$22,0)),"")</f>
        <v>Aska Enamelled Cast Iron Casserole</v>
      </c>
      <c r="I17" s="92" t="str">
        <f>IFERROR(INDEX('Product Catalog'!$D$7:$D$22,MATCH(G17,'Product Catalog'!$B$7:$B$22,0)),"")</f>
        <v>Kitchen &amp; Dining</v>
      </c>
      <c r="J17" s="93" t="n">
        <v>100</v>
      </c>
      <c r="K17" s="80" t="str">
        <f>IFERROR(INDEX('Regional Markets'!$D$8:$D$15,MATCH(E17,'Regional Markets'!$B$8:$B$15,0)),"")</f>
        <v>USD</v>
      </c>
      <c r="L17" s="94">
        <f>ROUND(INDEX('Product Catalog'!$I$7:$I$22,MATCH(G17,'Product Catalog'!$B$7:$B$22,0))*INDEX('Regional Markets'!$E$8:$E$15,MATCH(E17,'Regional Markets'!$B$8:$B$15,0)),IF(K17="JPY",0,2))</f>
        <v>210</v>
      </c>
      <c r="M17" s="79" t="n">
        <v>0.125</v>
      </c>
      <c r="N17" s="94">
        <f>J17*L17*(1-M17)</f>
        <v>18375</v>
      </c>
      <c r="O17" s="78">
        <f>N17/INDEX('Regional Markets'!$E$8:$E$15,MATCH(E17,'Regional Markets'!$B$8:$B$15,0))</f>
        <v>18375</v>
      </c>
      <c r="P17" s="80" t="s">
        <v>227</v>
      </c>
      <c r="Q17" s="91" t="n">
        <v>46090</v>
      </c>
      <c r="R17" s="76" t="s">
        <v>257</v>
      </c>
    </row>
    <row r="18" ht="34.4" customHeight="true">
      <c r="B18" s="90" t="inlineStr">
        <is>
          <t>SO-26-1051</t>
        </is>
      </c>
      <c r="C18" s="91" t="n">
        <v>46056</v>
      </c>
      <c r="D18" s="76" t="inlineStr">
        <is>
          <t>Hinoki Living</t>
        </is>
      </c>
      <c r="E18" s="92" t="s">
        <v>60</v>
      </c>
      <c r="F18" s="92" t="s">
        <v>249</v>
      </c>
      <c r="G18" s="92" t="inlineStr">
        <is>
          <t>LL-TXT-205</t>
        </is>
      </c>
      <c r="H18" s="76" t="str">
        <f>IFERROR(INDEX('Product Catalog'!$C$7:$C$22,MATCH(G18,'Product Catalog'!$B$7:$B$22,0)),"")</f>
        <v>Fell Merino Wool Throw</v>
      </c>
      <c r="I18" s="92" t="str">
        <f>IFERROR(INDEX('Product Catalog'!$D$7:$D$22,MATCH(G18,'Product Catalog'!$B$7:$B$22,0)),"")</f>
        <v>Textiles</v>
      </c>
      <c r="J18" s="93" t="n">
        <v>228</v>
      </c>
      <c r="K18" s="80" t="str">
        <f>IFERROR(INDEX('Regional Markets'!$D$8:$D$15,MATCH(E18,'Regional Markets'!$B$8:$B$15,0)),"")</f>
        <v>JPY</v>
      </c>
      <c r="L18" s="94">
        <f>ROUND(INDEX('Product Catalog'!$I$7:$I$22,MATCH(G18,'Product Catalog'!$B$7:$B$22,0))*INDEX('Regional Markets'!$E$8:$E$15,MATCH(E18,'Regional Markets'!$B$8:$B$15,0)),IF(K18="JPY",0,2))</f>
        <v>19092</v>
      </c>
      <c r="M18" s="79" t="n">
        <v>0.045</v>
      </c>
      <c r="N18" s="94">
        <f>J18*L18*(1-M18)</f>
        <v>4157092.08</v>
      </c>
      <c r="O18" s="78">
        <f>N18/INDEX('Regional Markets'!$E$8:$E$15,MATCH(E18,'Regional Markets'!$B$8:$B$15,0))</f>
        <v>28088.46</v>
      </c>
      <c r="P18" s="80" t="s">
        <v>227</v>
      </c>
      <c r="Q18" s="91" t="n">
        <v>46097</v>
      </c>
      <c r="R18" s="76" t="s">
        <v>250</v>
      </c>
    </row>
    <row r="19" ht="34.4" customHeight="true">
      <c r="B19" s="90" t="inlineStr">
        <is>
          <t>SO-26-1052</t>
        </is>
      </c>
      <c r="C19" s="91" t="n">
        <v>46062</v>
      </c>
      <c r="D19" s="76" t="inlineStr">
        <is>
          <t>Nestwell Online</t>
        </is>
      </c>
      <c r="E19" s="92" t="s">
        <v>52</v>
      </c>
      <c r="F19" s="92" t="s">
        <v>249</v>
      </c>
      <c r="G19" s="92" t="inlineStr">
        <is>
          <t>LL-FUR-316</t>
        </is>
      </c>
      <c r="H19" s="76" t="str">
        <f>IFERROR(INDEX('Product Catalog'!$C$7:$C$22,MATCH(G19,'Product Catalog'!$B$7:$B$22,0)),"")</f>
        <v>Liss Walnut Side Table</v>
      </c>
      <c r="I19" s="92" t="str">
        <f>IFERROR(INDEX('Product Catalog'!$D$7:$D$22,MATCH(G19,'Product Catalog'!$B$7:$B$22,0)),"")</f>
        <v>Furniture</v>
      </c>
      <c r="J19" s="93" t="n">
        <v>100</v>
      </c>
      <c r="K19" s="80" t="str">
        <f>IFERROR(INDEX('Regional Markets'!$D$8:$D$15,MATCH(E19,'Regional Markets'!$B$8:$B$15,0)),"")</f>
        <v>USD</v>
      </c>
      <c r="L19" s="94">
        <f>ROUND(INDEX('Product Catalog'!$I$7:$I$22,MATCH(G19,'Product Catalog'!$B$7:$B$22,0))*INDEX('Regional Markets'!$E$8:$E$15,MATCH(E19,'Regional Markets'!$B$8:$B$15,0)),IF(K19="JPY",0,2))</f>
        <v>280</v>
      </c>
      <c r="M19" s="79" t="n">
        <v>0.03</v>
      </c>
      <c r="N19" s="94">
        <f>J19*L19*(1-M19)</f>
        <v>27160</v>
      </c>
      <c r="O19" s="78">
        <f>N19/INDEX('Regional Markets'!$E$8:$E$15,MATCH(E19,'Regional Markets'!$B$8:$B$15,0))</f>
        <v>27160</v>
      </c>
      <c r="P19" s="80" t="s">
        <v>227</v>
      </c>
      <c r="Q19" s="91" t="n">
        <v>46090</v>
      </c>
      <c r="R19" s="76" t="s">
        <v>258</v>
      </c>
    </row>
    <row r="20" ht="47.6" customHeight="true">
      <c r="B20" s="90" t="inlineStr">
        <is>
          <t>SO-26-1053</t>
        </is>
      </c>
      <c r="C20" s="91" t="n">
        <v>46062</v>
      </c>
      <c r="D20" s="76" t="inlineStr">
        <is>
          <t>Kurashi Select</t>
        </is>
      </c>
      <c r="E20" s="92" t="s">
        <v>60</v>
      </c>
      <c r="F20" s="92" t="s">
        <v>253</v>
      </c>
      <c r="G20" s="92" t="inlineStr">
        <is>
          <t>LL-FUR-305</t>
        </is>
      </c>
      <c r="H20" s="76" t="str">
        <f>IFERROR(INDEX('Product Catalog'!$C$7:$C$22,MATCH(G20,'Product Catalog'!$B$7:$B$22,0)),"")</f>
        <v>Brenna Extendable Oak Dining Table</v>
      </c>
      <c r="I20" s="92" t="str">
        <f>IFERROR(INDEX('Product Catalog'!$D$7:$D$22,MATCH(G20,'Product Catalog'!$B$7:$B$22,0)),"")</f>
        <v>Furniture</v>
      </c>
      <c r="J20" s="93" t="n">
        <v>16</v>
      </c>
      <c r="K20" s="80" t="str">
        <f>IFERROR(INDEX('Regional Markets'!$D$8:$D$15,MATCH(E20,'Regional Markets'!$B$8:$B$15,0)),"")</f>
        <v>JPY</v>
      </c>
      <c r="L20" s="94">
        <f>ROUND(INDEX('Product Catalog'!$I$7:$I$22,MATCH(G20,'Product Catalog'!$B$7:$B$22,0))*INDEX('Regional Markets'!$E$8:$E$15,MATCH(E20,'Regional Markets'!$B$8:$B$15,0)),IF(K20="JPY",0,2))</f>
        <v>220520</v>
      </c>
      <c r="M20" s="79" t="n">
        <v>0.1</v>
      </c>
      <c r="N20" s="94">
        <f>J20*L20*(1-M20)</f>
        <v>3175488</v>
      </c>
      <c r="O20" s="78">
        <f>N20/INDEX('Regional Markets'!$E$8:$E$15,MATCH(E20,'Regional Markets'!$B$8:$B$15,0))</f>
        <v>21456</v>
      </c>
      <c r="P20" s="80" t="s">
        <v>227</v>
      </c>
      <c r="Q20" s="91" t="n">
        <v>46087</v>
      </c>
      <c r="R20" s="76" t="s">
        <v>259</v>
      </c>
    </row>
    <row r="21" ht="47.6" customHeight="true">
      <c r="B21" s="90" t="inlineStr">
        <is>
          <t>SO-26-1054</t>
        </is>
      </c>
      <c r="C21" s="91" t="n">
        <v>46066</v>
      </c>
      <c r="D21" s="76" t="inlineStr">
        <is>
          <t>Hem &amp; Sjö Distribution AB</t>
        </is>
      </c>
      <c r="E21" s="92" t="s">
        <v>59</v>
      </c>
      <c r="F21" s="92" t="s">
        <v>260</v>
      </c>
      <c r="G21" s="92" t="inlineStr">
        <is>
          <t>LL-TXT-205</t>
        </is>
      </c>
      <c r="H21" s="76" t="str">
        <f>IFERROR(INDEX('Product Catalog'!$C$7:$C$22,MATCH(G21,'Product Catalog'!$B$7:$B$22,0)),"")</f>
        <v>Fell Merino Wool Throw</v>
      </c>
      <c r="I21" s="92" t="str">
        <f>IFERROR(INDEX('Product Catalog'!$D$7:$D$22,MATCH(G21,'Product Catalog'!$B$7:$B$22,0)),"")</f>
        <v>Textiles</v>
      </c>
      <c r="J21" s="93" t="n">
        <v>460</v>
      </c>
      <c r="K21" s="80" t="str">
        <f>IFERROR(INDEX('Regional Markets'!$D$8:$D$15,MATCH(E21,'Regional Markets'!$B$8:$B$15,0)),"")</f>
        <v>SEK</v>
      </c>
      <c r="L21" s="94">
        <f>ROUND(INDEX('Product Catalog'!$I$7:$I$22,MATCH(G21,'Product Catalog'!$B$7:$B$22,0))*INDEX('Regional Markets'!$E$8:$E$15,MATCH(E21,'Regional Markets'!$B$8:$B$15,0)),IF(K21="JPY",0,2))</f>
        <v>1367.4</v>
      </c>
      <c r="M21" s="79" t="n">
        <v>0.1</v>
      </c>
      <c r="N21" s="94">
        <f>J21*L21*(1-M21)</f>
        <v>566103.6</v>
      </c>
      <c r="O21" s="78">
        <f>N21/INDEX('Regional Markets'!$E$8:$E$15,MATCH(E21,'Regional Markets'!$B$8:$B$15,0))</f>
        <v>53406</v>
      </c>
      <c r="P21" s="80" t="s">
        <v>227</v>
      </c>
      <c r="Q21" s="91" t="n">
        <v>46091</v>
      </c>
      <c r="R21" s="76" t="s">
        <v>261</v>
      </c>
    </row>
    <row r="22" ht="47.6" customHeight="true">
      <c r="B22" s="90" t="inlineStr">
        <is>
          <t>SO-26-1055</t>
        </is>
      </c>
      <c r="C22" s="91" t="n">
        <v>46069</v>
      </c>
      <c r="D22" s="76" t="inlineStr">
        <is>
          <t>Hem &amp; Sjö Distribution AB</t>
        </is>
      </c>
      <c r="E22" s="92" t="s">
        <v>59</v>
      </c>
      <c r="F22" s="92" t="s">
        <v>260</v>
      </c>
      <c r="G22" s="92" t="inlineStr">
        <is>
          <t>LL-LGT-104</t>
        </is>
      </c>
      <c r="H22" s="76" t="str">
        <f>IFERROR(INDEX('Product Catalog'!$C$7:$C$22,MATCH(G22,'Product Catalog'!$B$7:$B$22,0)),"")</f>
        <v>Sora Ceramic Table Lamp</v>
      </c>
      <c r="I22" s="92" t="str">
        <f>IFERROR(INDEX('Product Catalog'!$D$7:$D$22,MATCH(G22,'Product Catalog'!$B$7:$B$22,0)),"")</f>
        <v>Lighting</v>
      </c>
      <c r="J22" s="93" t="n">
        <v>326</v>
      </c>
      <c r="K22" s="80" t="str">
        <f>IFERROR(INDEX('Regional Markets'!$D$8:$D$15,MATCH(E22,'Regional Markets'!$B$8:$B$15,0)),"")</f>
        <v>SEK</v>
      </c>
      <c r="L22" s="94">
        <f>ROUND(INDEX('Product Catalog'!$I$7:$I$22,MATCH(G22,'Product Catalog'!$B$7:$B$22,0))*INDEX('Regional Markets'!$E$8:$E$15,MATCH(E22,'Regional Markets'!$B$8:$B$15,0)),IF(K22="JPY",0,2))</f>
        <v>1579.4</v>
      </c>
      <c r="M22" s="79" t="n">
        <v>0.105</v>
      </c>
      <c r="N22" s="94">
        <f>J22*L22*(1-M22)</f>
        <v>460821.538</v>
      </c>
      <c r="O22" s="78">
        <f>N22/INDEX('Regional Markets'!$E$8:$E$15,MATCH(E22,'Regional Markets'!$B$8:$B$15,0))</f>
        <v>43473.73</v>
      </c>
      <c r="P22" s="80" t="s">
        <v>227</v>
      </c>
      <c r="Q22" s="91" t="n">
        <v>46091</v>
      </c>
      <c r="R22" s="76" t="s">
        <v>261</v>
      </c>
    </row>
    <row r="23" ht="34.4" customHeight="true">
      <c r="B23" s="90" t="inlineStr">
        <is>
          <t>SO-26-1056</t>
        </is>
      </c>
      <c r="C23" s="91" t="n">
        <v>46079</v>
      </c>
      <c r="D23" s="76" t="inlineStr">
        <is>
          <t>Hinoki Living</t>
        </is>
      </c>
      <c r="E23" s="92" t="s">
        <v>60</v>
      </c>
      <c r="F23" s="92" t="s">
        <v>249</v>
      </c>
      <c r="G23" s="92" t="inlineStr">
        <is>
          <t>LL-KIT-406</t>
        </is>
      </c>
      <c r="H23" s="76" t="str">
        <f>IFERROR(INDEX('Product Catalog'!$C$7:$C$22,MATCH(G23,'Product Catalog'!$B$7:$B$22,0)),"")</f>
        <v>Aska Enamelled Cast Iron Casserole</v>
      </c>
      <c r="I23" s="92" t="str">
        <f>IFERROR(INDEX('Product Catalog'!$D$7:$D$22,MATCH(G23,'Product Catalog'!$B$7:$B$22,0)),"")</f>
        <v>Kitchen &amp; Dining</v>
      </c>
      <c r="J23" s="93" t="n">
        <v>88</v>
      </c>
      <c r="K23" s="80" t="str">
        <f>IFERROR(INDEX('Regional Markets'!$D$8:$D$15,MATCH(E23,'Regional Markets'!$B$8:$B$15,0)),"")</f>
        <v>JPY</v>
      </c>
      <c r="L23" s="94">
        <f>ROUND(INDEX('Product Catalog'!$I$7:$I$22,MATCH(G23,'Product Catalog'!$B$7:$B$22,0))*INDEX('Regional Markets'!$E$8:$E$15,MATCH(E23,'Regional Markets'!$B$8:$B$15,0)),IF(K23="JPY",0,2))</f>
        <v>31080</v>
      </c>
      <c r="M23" s="79" t="n">
        <v>0.03</v>
      </c>
      <c r="N23" s="94">
        <f>J23*L23*(1-M23)</f>
        <v>2652988.8</v>
      </c>
      <c r="O23" s="78">
        <f>N23/INDEX('Regional Markets'!$E$8:$E$15,MATCH(E23,'Regional Markets'!$B$8:$B$15,0))</f>
        <v>17925.6</v>
      </c>
      <c r="P23" s="80" t="s">
        <v>227</v>
      </c>
      <c r="Q23" s="91" t="n">
        <v>46104</v>
      </c>
      <c r="R23" s="76" t="s">
        <v>250</v>
      </c>
    </row>
    <row r="24" ht="34.4" customHeight="true">
      <c r="B24" s="90" t="inlineStr">
        <is>
          <t>SO-26-1057</t>
        </is>
      </c>
      <c r="C24" s="91" t="n">
        <v>46085</v>
      </c>
      <c r="D24" s="76" t="inlineStr">
        <is>
          <t>Coastal Edit Hospitality</t>
        </is>
      </c>
      <c r="E24" s="92" t="s">
        <v>62</v>
      </c>
      <c r="F24" s="92" t="s">
        <v>245</v>
      </c>
      <c r="G24" s="92" t="inlineStr">
        <is>
          <t>LL-FUR-301</t>
        </is>
      </c>
      <c r="H24" s="76" t="str">
        <f>IFERROR(INDEX('Product Catalog'!$C$7:$C$22,MATCH(G24,'Product Catalog'!$B$7:$B$22,0)),"")</f>
        <v>Tove Solid Oak Dining Chair</v>
      </c>
      <c r="I24" s="92" t="str">
        <f>IFERROR(INDEX('Product Catalog'!$D$7:$D$22,MATCH(G24,'Product Catalog'!$B$7:$B$22,0)),"")</f>
        <v>Furniture</v>
      </c>
      <c r="J24" s="93" t="n">
        <v>154</v>
      </c>
      <c r="K24" s="80" t="str">
        <f>IFERROR(INDEX('Regional Markets'!$D$8:$D$15,MATCH(E24,'Regional Markets'!$B$8:$B$15,0)),"")</f>
        <v>AUD</v>
      </c>
      <c r="L24" s="94">
        <f>ROUND(INDEX('Product Catalog'!$I$7:$I$22,MATCH(G24,'Product Catalog'!$B$7:$B$22,0))*INDEX('Regional Markets'!$E$8:$E$15,MATCH(E24,'Regional Markets'!$B$8:$B$15,0)),IF(K24="JPY",0,2))</f>
        <v>372.4</v>
      </c>
      <c r="M24" s="79" t="n">
        <v>0.135</v>
      </c>
      <c r="N24" s="94">
        <f>J24*L24*(1-M24)</f>
        <v>49607.404</v>
      </c>
      <c r="O24" s="78">
        <f>N24/INDEX('Regional Markets'!$E$8:$E$15,MATCH(E24,'Regional Markets'!$B$8:$B$15,0))</f>
        <v>32636.45</v>
      </c>
      <c r="P24" s="80" t="s">
        <v>227</v>
      </c>
      <c r="Q24" s="91" t="n">
        <v>46132</v>
      </c>
      <c r="R24" s="76" t="s">
        <v>262</v>
      </c>
    </row>
    <row r="25" ht="34.4" customHeight="true">
      <c r="B25" s="90" t="inlineStr">
        <is>
          <t>SO-26-1058</t>
        </is>
      </c>
      <c r="C25" s="91" t="n">
        <v>46085</v>
      </c>
      <c r="D25" s="76" t="inlineStr">
        <is>
          <t>Coastal Edit Hospitality</t>
        </is>
      </c>
      <c r="E25" s="92" t="s">
        <v>62</v>
      </c>
      <c r="F25" s="92" t="s">
        <v>245</v>
      </c>
      <c r="G25" s="92" t="inlineStr">
        <is>
          <t>LL-LGT-101</t>
        </is>
      </c>
      <c r="H25" s="76" t="str">
        <f>IFERROR(INDEX('Product Catalog'!$C$7:$C$22,MATCH(G25,'Product Catalog'!$B$7:$B$22,0)),"")</f>
        <v>Halden Linen Pendant Lamp</v>
      </c>
      <c r="I25" s="92" t="str">
        <f>IFERROR(INDEX('Product Catalog'!$D$7:$D$22,MATCH(G25,'Product Catalog'!$B$7:$B$22,0)),"")</f>
        <v>Lighting</v>
      </c>
      <c r="J25" s="93" t="n">
        <v>96</v>
      </c>
      <c r="K25" s="80" t="str">
        <f>IFERROR(INDEX('Regional Markets'!$D$8:$D$15,MATCH(E25,'Regional Markets'!$B$8:$B$15,0)),"")</f>
        <v>AUD</v>
      </c>
      <c r="L25" s="94">
        <f>ROUND(INDEX('Product Catalog'!$I$7:$I$22,MATCH(G25,'Product Catalog'!$B$7:$B$22,0))*INDEX('Regional Markets'!$E$8:$E$15,MATCH(E25,'Regional Markets'!$B$8:$B$15,0)),IF(K25="JPY",0,2))</f>
        <v>287.28</v>
      </c>
      <c r="M25" s="79" t="n">
        <v>0.14</v>
      </c>
      <c r="N25" s="94">
        <f>J25*L25*(1-M25)</f>
        <v>23717.8368</v>
      </c>
      <c r="O25" s="78">
        <f>N25/INDEX('Regional Markets'!$E$8:$E$15,MATCH(E25,'Regional Markets'!$B$8:$B$15,0))</f>
        <v>15603.84</v>
      </c>
      <c r="P25" s="80" t="s">
        <v>227</v>
      </c>
      <c r="Q25" s="91" t="n">
        <v>46139</v>
      </c>
      <c r="R25" s="76" t="s">
        <v>263</v>
      </c>
    </row>
    <row r="26" ht="34.4" customHeight="true">
      <c r="B26" s="90" t="inlineStr">
        <is>
          <t>SO-26-1059</t>
        </is>
      </c>
      <c r="C26" s="91" t="n">
        <v>46094</v>
      </c>
      <c r="D26" s="76" t="inlineStr">
        <is>
          <t>Maple Street Interiors</t>
        </is>
      </c>
      <c r="E26" s="92" t="s">
        <v>54</v>
      </c>
      <c r="F26" s="92" t="s">
        <v>253</v>
      </c>
      <c r="G26" s="92" t="inlineStr">
        <is>
          <t>LL-TXT-214</t>
        </is>
      </c>
      <c r="H26" s="76" t="str">
        <f>IFERROR(INDEX('Product Catalog'!$C$7:$C$22,MATCH(G26,'Product Catalog'!$B$7:$B$22,0)),"")</f>
        <v>Kesa Organic Cotton Towel Set</v>
      </c>
      <c r="I26" s="92" t="str">
        <f>IFERROR(INDEX('Product Catalog'!$D$7:$D$22,MATCH(G26,'Product Catalog'!$B$7:$B$22,0)),"")</f>
        <v>Textiles</v>
      </c>
      <c r="J26" s="93" t="n">
        <v>168</v>
      </c>
      <c r="K26" s="80" t="str">
        <f>IFERROR(INDEX('Regional Markets'!$D$8:$D$15,MATCH(E26,'Regional Markets'!$B$8:$B$15,0)),"")</f>
        <v>CAD</v>
      </c>
      <c r="L26" s="94">
        <f>ROUND(INDEX('Product Catalog'!$I$7:$I$22,MATCH(G26,'Product Catalog'!$B$7:$B$22,0))*INDEX('Regional Markets'!$E$8:$E$15,MATCH(E26,'Regional Markets'!$B$8:$B$15,0)),IF(K26="JPY",0,2))</f>
        <v>108.23</v>
      </c>
      <c r="M26" s="79" t="n">
        <v>0.065</v>
      </c>
      <c r="N26" s="94">
        <f>J26*L26*(1-M26)</f>
        <v>17000.7684</v>
      </c>
      <c r="O26" s="78">
        <f>N26/INDEX('Regional Markets'!$E$8:$E$15,MATCH(E26,'Regional Markets'!$B$8:$B$15,0))</f>
        <v>12409.32</v>
      </c>
      <c r="P26" s="80" t="s">
        <v>227</v>
      </c>
      <c r="Q26" s="91" t="n">
        <v>46120</v>
      </c>
      <c r="R26" s="76" t="s">
        <v>264</v>
      </c>
    </row>
    <row r="27" ht="34.4" customHeight="true">
      <c r="B27" s="90" t="inlineStr">
        <is>
          <t>SO-26-1060</t>
        </is>
      </c>
      <c r="C27" s="91" t="n">
        <v>46097</v>
      </c>
      <c r="D27" s="76" t="s">
        <v>244</v>
      </c>
      <c r="E27" s="92" t="s">
        <v>52</v>
      </c>
      <c r="F27" s="92" t="s">
        <v>245</v>
      </c>
      <c r="G27" s="92" t="inlineStr">
        <is>
          <t>LL-TXT-214</t>
        </is>
      </c>
      <c r="H27" s="76" t="str">
        <f>IFERROR(INDEX('Product Catalog'!$C$7:$C$22,MATCH(G27,'Product Catalog'!$B$7:$B$22,0)),"")</f>
        <v>Kesa Organic Cotton Towel Set</v>
      </c>
      <c r="I27" s="92" t="str">
        <f>IFERROR(INDEX('Product Catalog'!$D$7:$D$22,MATCH(G27,'Product Catalog'!$B$7:$B$22,0)),"")</f>
        <v>Textiles</v>
      </c>
      <c r="J27" s="93" t="n">
        <v>172</v>
      </c>
      <c r="K27" s="80" t="str">
        <f>IFERROR(INDEX('Regional Markets'!$D$8:$D$15,MATCH(E27,'Regional Markets'!$B$8:$B$15,0)),"")</f>
        <v>USD</v>
      </c>
      <c r="L27" s="94">
        <f>ROUND(INDEX('Product Catalog'!$I$7:$I$22,MATCH(G27,'Product Catalog'!$B$7:$B$22,0))*INDEX('Regional Markets'!$E$8:$E$15,MATCH(E27,'Regional Markets'!$B$8:$B$15,0)),IF(K27="JPY",0,2))</f>
        <v>79</v>
      </c>
      <c r="M27" s="79" t="n">
        <v>0.125</v>
      </c>
      <c r="N27" s="94">
        <f>J27*L27*(1-M27)</f>
        <v>11889.5</v>
      </c>
      <c r="O27" s="78">
        <f>N27/INDEX('Regional Markets'!$E$8:$E$15,MATCH(E27,'Regional Markets'!$B$8:$B$15,0))</f>
        <v>11889.5</v>
      </c>
      <c r="P27" s="80" t="s">
        <v>227</v>
      </c>
      <c r="Q27" s="91" t="n">
        <v>46148</v>
      </c>
      <c r="R27" s="76" t="s">
        <v>246</v>
      </c>
    </row>
    <row r="28" ht="34.4" customHeight="true">
      <c r="B28" s="90" t="inlineStr">
        <is>
          <t>SO-26-1061</t>
        </is>
      </c>
      <c r="C28" s="91" t="n">
        <v>46097</v>
      </c>
      <c r="D28" s="76" t="inlineStr">
        <is>
          <t>Nestwell Online</t>
        </is>
      </c>
      <c r="E28" s="92" t="s">
        <v>52</v>
      </c>
      <c r="F28" s="92" t="s">
        <v>249</v>
      </c>
      <c r="G28" s="92" t="inlineStr">
        <is>
          <t>LL-DEC-501</t>
        </is>
      </c>
      <c r="H28" s="76" t="str">
        <f>IFERROR(INDEX('Product Catalog'!$C$7:$C$22,MATCH(G28,'Product Catalog'!$B$7:$B$22,0)),"")</f>
        <v>Lumi Recycled Glass Vase</v>
      </c>
      <c r="I28" s="92" t="str">
        <f>IFERROR(INDEX('Product Catalog'!$D$7:$D$22,MATCH(G28,'Product Catalog'!$B$7:$B$22,0)),"")</f>
        <v>Decor &amp; Rugs</v>
      </c>
      <c r="J28" s="93" t="n">
        <v>192</v>
      </c>
      <c r="K28" s="80" t="str">
        <f>IFERROR(INDEX('Regional Markets'!$D$8:$D$15,MATCH(E28,'Regional Markets'!$B$8:$B$15,0)),"")</f>
        <v>USD</v>
      </c>
      <c r="L28" s="94">
        <f>ROUND(INDEX('Product Catalog'!$I$7:$I$22,MATCH(G28,'Product Catalog'!$B$7:$B$22,0))*INDEX('Regional Markets'!$E$8:$E$15,MATCH(E28,'Regional Markets'!$B$8:$B$15,0)),IF(K28="JPY",0,2))</f>
        <v>64</v>
      </c>
      <c r="M28" s="79" t="n">
        <v>0.03</v>
      </c>
      <c r="N28" s="94">
        <f>J28*L28*(1-M28)</f>
        <v>11919.36</v>
      </c>
      <c r="O28" s="78">
        <f>N28/INDEX('Regional Markets'!$E$8:$E$15,MATCH(E28,'Regional Markets'!$B$8:$B$15,0))</f>
        <v>11919.36</v>
      </c>
      <c r="P28" s="80" t="s">
        <v>227</v>
      </c>
      <c r="Q28" s="91" t="n">
        <v>46132</v>
      </c>
      <c r="R28" s="76" t="s">
        <v>251</v>
      </c>
    </row>
    <row r="29" ht="34.4" customHeight="true">
      <c r="B29" s="90" t="inlineStr">
        <is>
          <t>SO-26-1062</t>
        </is>
      </c>
      <c r="C29" s="91" t="n">
        <v>46101</v>
      </c>
      <c r="D29" s="76" t="inlineStr">
        <is>
          <t>Harbor &amp; Pine Home</t>
        </is>
      </c>
      <c r="E29" s="92" t="s">
        <v>52</v>
      </c>
      <c r="F29" s="92" t="s">
        <v>253</v>
      </c>
      <c r="G29" s="92" t="inlineStr">
        <is>
          <t>LL-KIT-410</t>
        </is>
      </c>
      <c r="H29" s="76" t="str">
        <f>IFERROR(INDEX('Product Catalog'!$C$7:$C$22,MATCH(G29,'Product Catalog'!$B$7:$B$22,0)),"")</f>
        <v>Rune Acacia Serving Board</v>
      </c>
      <c r="I29" s="92" t="str">
        <f>IFERROR(INDEX('Product Catalog'!$D$7:$D$22,MATCH(G29,'Product Catalog'!$B$7:$B$22,0)),"")</f>
        <v>Kitchen &amp; Dining</v>
      </c>
      <c r="J29" s="93" t="n">
        <v>216</v>
      </c>
      <c r="K29" s="80" t="str">
        <f>IFERROR(INDEX('Regional Markets'!$D$8:$D$15,MATCH(E29,'Regional Markets'!$B$8:$B$15,0)),"")</f>
        <v>USD</v>
      </c>
      <c r="L29" s="94">
        <f>ROUND(INDEX('Product Catalog'!$I$7:$I$22,MATCH(G29,'Product Catalog'!$B$7:$B$22,0))*INDEX('Regional Markets'!$E$8:$E$15,MATCH(E29,'Regional Markets'!$B$8:$B$15,0)),IF(K29="JPY",0,2))</f>
        <v>58</v>
      </c>
      <c r="M29" s="79" t="n">
        <v>0.06</v>
      </c>
      <c r="N29" s="94">
        <f>J29*L29*(1-M29)</f>
        <v>11776.32</v>
      </c>
      <c r="O29" s="78">
        <f>N29/INDEX('Regional Markets'!$E$8:$E$15,MATCH(E29,'Regional Markets'!$B$8:$B$15,0))</f>
        <v>11776.32</v>
      </c>
      <c r="P29" s="80" t="s">
        <v>227</v>
      </c>
      <c r="Q29" s="91" t="n">
        <v>46143</v>
      </c>
      <c r="R29" s="76" t="s">
        <v>265</v>
      </c>
    </row>
    <row r="30" ht="34.4" customHeight="true">
      <c r="B30" s="90" t="inlineStr">
        <is>
          <t>SO-26-1063</t>
        </is>
      </c>
      <c r="C30" s="91" t="n">
        <v>46104</v>
      </c>
      <c r="D30" s="76" t="inlineStr">
        <is>
          <t>Harbor &amp; Pine Home</t>
        </is>
      </c>
      <c r="E30" s="92" t="s">
        <v>52</v>
      </c>
      <c r="F30" s="92" t="s">
        <v>253</v>
      </c>
      <c r="G30" s="92" t="inlineStr">
        <is>
          <t>LL-TXT-205</t>
        </is>
      </c>
      <c r="H30" s="76" t="str">
        <f>IFERROR(INDEX('Product Catalog'!$C$7:$C$22,MATCH(G30,'Product Catalog'!$B$7:$B$22,0)),"")</f>
        <v>Fell Merino Wool Throw</v>
      </c>
      <c r="I30" s="92" t="str">
        <f>IFERROR(INDEX('Product Catalog'!$D$7:$D$22,MATCH(G30,'Product Catalog'!$B$7:$B$22,0)),"")</f>
        <v>Textiles</v>
      </c>
      <c r="J30" s="93" t="n">
        <v>84</v>
      </c>
      <c r="K30" s="80" t="str">
        <f>IFERROR(INDEX('Regional Markets'!$D$8:$D$15,MATCH(E30,'Regional Markets'!$B$8:$B$15,0)),"")</f>
        <v>USD</v>
      </c>
      <c r="L30" s="94">
        <f>ROUND(INDEX('Product Catalog'!$I$7:$I$22,MATCH(G30,'Product Catalog'!$B$7:$B$22,0))*INDEX('Regional Markets'!$E$8:$E$15,MATCH(E30,'Regional Markets'!$B$8:$B$15,0)),IF(K30="JPY",0,2))</f>
        <v>129</v>
      </c>
      <c r="M30" s="79" t="n">
        <v>0.04</v>
      </c>
      <c r="N30" s="94">
        <f>J30*L30*(1-M30)</f>
        <v>10402.56</v>
      </c>
      <c r="O30" s="78">
        <f>N30/INDEX('Regional Markets'!$E$8:$E$15,MATCH(E30,'Regional Markets'!$B$8:$B$15,0))</f>
        <v>10402.56</v>
      </c>
      <c r="P30" s="80" t="s">
        <v>227</v>
      </c>
      <c r="Q30" s="91" t="n">
        <v>46146</v>
      </c>
      <c r="R30" s="76" t="s">
        <v>265</v>
      </c>
    </row>
    <row r="31" ht="34.4" customHeight="true">
      <c r="B31" s="90" t="inlineStr">
        <is>
          <t>SO-26-1064</t>
        </is>
      </c>
      <c r="C31" s="91" t="n">
        <v>46108</v>
      </c>
      <c r="D31" s="76" t="inlineStr">
        <is>
          <t>Galeries Ombre</t>
        </is>
      </c>
      <c r="E31" s="92" t="s">
        <v>58</v>
      </c>
      <c r="F31" s="92" t="s">
        <v>247</v>
      </c>
      <c r="G31" s="92" t="inlineStr">
        <is>
          <t>LL-KIT-410</t>
        </is>
      </c>
      <c r="H31" s="76" t="str">
        <f>IFERROR(INDEX('Product Catalog'!$C$7:$C$22,MATCH(G31,'Product Catalog'!$B$7:$B$22,0)),"")</f>
        <v>Rune Acacia Serving Board</v>
      </c>
      <c r="I31" s="92" t="str">
        <f>IFERROR(INDEX('Product Catalog'!$D$7:$D$22,MATCH(G31,'Product Catalog'!$B$7:$B$22,0)),"")</f>
        <v>Kitchen &amp; Dining</v>
      </c>
      <c r="J31" s="93" t="n">
        <v>648</v>
      </c>
      <c r="K31" s="80" t="str">
        <f>IFERROR(INDEX('Regional Markets'!$D$8:$D$15,MATCH(E31,'Regional Markets'!$B$8:$B$15,0)),"")</f>
        <v>EUR</v>
      </c>
      <c r="L31" s="94">
        <f>ROUND(INDEX('Product Catalog'!$I$7:$I$22,MATCH(G31,'Product Catalog'!$B$7:$B$22,0))*INDEX('Regional Markets'!$E$8:$E$15,MATCH(E31,'Regional Markets'!$B$8:$B$15,0)),IF(K31="JPY",0,2))</f>
        <v>53.36</v>
      </c>
      <c r="M31" s="79" t="n">
        <v>0.13</v>
      </c>
      <c r="N31" s="94">
        <f>J31*L31*(1-M31)</f>
        <v>30082.2336</v>
      </c>
      <c r="O31" s="78">
        <f>N31/INDEX('Regional Markets'!$E$8:$E$15,MATCH(E31,'Regional Markets'!$B$8:$B$15,0))</f>
        <v>32698.08</v>
      </c>
      <c r="P31" s="80" t="s">
        <v>227</v>
      </c>
      <c r="Q31" s="91" t="n">
        <v>46146</v>
      </c>
      <c r="R31" s="76" t="s">
        <v>266</v>
      </c>
    </row>
    <row r="32" ht="34.4" customHeight="true">
      <c r="B32" s="90" t="inlineStr">
        <is>
          <t>SO-26-1065</t>
        </is>
      </c>
      <c r="C32" s="91" t="n">
        <v>46111</v>
      </c>
      <c r="D32" s="76" t="inlineStr">
        <is>
          <t>Harbor &amp; Pine Home</t>
        </is>
      </c>
      <c r="E32" s="92" t="s">
        <v>52</v>
      </c>
      <c r="F32" s="92" t="s">
        <v>253</v>
      </c>
      <c r="G32" s="92" t="inlineStr">
        <is>
          <t>LL-KIT-410</t>
        </is>
      </c>
      <c r="H32" s="76" t="str">
        <f>IFERROR(INDEX('Product Catalog'!$C$7:$C$22,MATCH(G32,'Product Catalog'!$B$7:$B$22,0)),"")</f>
        <v>Rune Acacia Serving Board</v>
      </c>
      <c r="I32" s="92" t="str">
        <f>IFERROR(INDEX('Product Catalog'!$D$7:$D$22,MATCH(G32,'Product Catalog'!$B$7:$B$22,0)),"")</f>
        <v>Kitchen &amp; Dining</v>
      </c>
      <c r="J32" s="93" t="n">
        <v>600</v>
      </c>
      <c r="K32" s="80" t="str">
        <f>IFERROR(INDEX('Regional Markets'!$D$8:$D$15,MATCH(E32,'Regional Markets'!$B$8:$B$15,0)),"")</f>
        <v>USD</v>
      </c>
      <c r="L32" s="94">
        <f>ROUND(INDEX('Product Catalog'!$I$7:$I$22,MATCH(G32,'Product Catalog'!$B$7:$B$22,0))*INDEX('Regional Markets'!$E$8:$E$15,MATCH(E32,'Regional Markets'!$B$8:$B$15,0)),IF(K32="JPY",0,2))</f>
        <v>58</v>
      </c>
      <c r="M32" s="79" t="n">
        <v>0.04</v>
      </c>
      <c r="N32" s="94">
        <f>J32*L32*(1-M32)</f>
        <v>33408</v>
      </c>
      <c r="O32" s="78">
        <f>N32/INDEX('Regional Markets'!$E$8:$E$15,MATCH(E32,'Regional Markets'!$B$8:$B$15,0))</f>
        <v>33408</v>
      </c>
      <c r="P32" s="80" t="s">
        <v>227</v>
      </c>
      <c r="Q32" s="91" t="n">
        <v>46153</v>
      </c>
      <c r="R32" s="76" t="s">
        <v>256</v>
      </c>
    </row>
    <row r="33" ht="34.4" customHeight="true">
      <c r="B33" s="90" t="inlineStr">
        <is>
          <t>SO-26-1066</t>
        </is>
      </c>
      <c r="C33" s="91" t="n">
        <v>46112</v>
      </c>
      <c r="D33" s="76" t="inlineStr">
        <is>
          <t>Northbay Home Supply</t>
        </is>
      </c>
      <c r="E33" s="92" t="s">
        <v>54</v>
      </c>
      <c r="F33" s="92" t="s">
        <v>247</v>
      </c>
      <c r="G33" s="92" t="inlineStr">
        <is>
          <t>LL-LGT-104</t>
        </is>
      </c>
      <c r="H33" s="76" t="str">
        <f>IFERROR(INDEX('Product Catalog'!$C$7:$C$22,MATCH(G33,'Product Catalog'!$B$7:$B$22,0)),"")</f>
        <v>Sora Ceramic Table Lamp</v>
      </c>
      <c r="I33" s="92" t="str">
        <f>IFERROR(INDEX('Product Catalog'!$D$7:$D$22,MATCH(G33,'Product Catalog'!$B$7:$B$22,0)),"")</f>
        <v>Lighting</v>
      </c>
      <c r="J33" s="93" t="n">
        <v>216</v>
      </c>
      <c r="K33" s="80" t="str">
        <f>IFERROR(INDEX('Regional Markets'!$D$8:$D$15,MATCH(E33,'Regional Markets'!$B$8:$B$15,0)),"")</f>
        <v>CAD</v>
      </c>
      <c r="L33" s="94">
        <f>ROUND(INDEX('Product Catalog'!$I$7:$I$22,MATCH(G33,'Product Catalog'!$B$7:$B$22,0))*INDEX('Regional Markets'!$E$8:$E$15,MATCH(E33,'Regional Markets'!$B$8:$B$15,0)),IF(K33="JPY",0,2))</f>
        <v>204.13</v>
      </c>
      <c r="M33" s="79" t="n">
        <v>0.08</v>
      </c>
      <c r="N33" s="94">
        <f>J33*L33*(1-M33)</f>
        <v>40564.7136</v>
      </c>
      <c r="O33" s="78">
        <f>N33/INDEX('Regional Markets'!$E$8:$E$15,MATCH(E33,'Regional Markets'!$B$8:$B$15,0))</f>
        <v>29609.28</v>
      </c>
      <c r="P33" s="80" t="s">
        <v>227</v>
      </c>
      <c r="Q33" s="91" t="n">
        <v>46139</v>
      </c>
      <c r="R33" s="76" t="s">
        <v>267</v>
      </c>
    </row>
    <row r="34" ht="34.4" customHeight="true">
      <c r="B34" s="90" t="inlineStr">
        <is>
          <t>SO-26-1067</t>
        </is>
      </c>
      <c r="C34" s="91" t="n">
        <v>46118</v>
      </c>
      <c r="D34" s="76" t="inlineStr">
        <is>
          <t>Wohnhaus Berger GmbH</t>
        </is>
      </c>
      <c r="E34" s="92" t="s">
        <v>57</v>
      </c>
      <c r="F34" s="92" t="s">
        <v>253</v>
      </c>
      <c r="G34" s="92" t="inlineStr">
        <is>
          <t>LL-LGT-104</t>
        </is>
      </c>
      <c r="H34" s="76" t="str">
        <f>IFERROR(INDEX('Product Catalog'!$C$7:$C$22,MATCH(G34,'Product Catalog'!$B$7:$B$22,0)),"")</f>
        <v>Sora Ceramic Table Lamp</v>
      </c>
      <c r="I34" s="92" t="str">
        <f>IFERROR(INDEX('Product Catalog'!$D$7:$D$22,MATCH(G34,'Product Catalog'!$B$7:$B$22,0)),"")</f>
        <v>Lighting</v>
      </c>
      <c r="J34" s="93" t="n">
        <v>300</v>
      </c>
      <c r="K34" s="80" t="str">
        <f>IFERROR(INDEX('Regional Markets'!$D$8:$D$15,MATCH(E34,'Regional Markets'!$B$8:$B$15,0)),"")</f>
        <v>EUR</v>
      </c>
      <c r="L34" s="94">
        <f>ROUND(INDEX('Product Catalog'!$I$7:$I$22,MATCH(G34,'Product Catalog'!$B$7:$B$22,0))*INDEX('Regional Markets'!$E$8:$E$15,MATCH(E34,'Regional Markets'!$B$8:$B$15,0)),IF(K34="JPY",0,2))</f>
        <v>137.08</v>
      </c>
      <c r="M34" s="79" t="n">
        <v>0.11</v>
      </c>
      <c r="N34" s="94">
        <f>J34*L34*(1-M34)</f>
        <v>36600.36</v>
      </c>
      <c r="O34" s="78">
        <f>N34/INDEX('Regional Markets'!$E$8:$E$15,MATCH(E34,'Regional Markets'!$B$8:$B$15,0))</f>
        <v>39783</v>
      </c>
      <c r="P34" s="80" t="s">
        <v>227</v>
      </c>
      <c r="Q34" s="91" t="n">
        <v>46153</v>
      </c>
      <c r="R34" s="76" t="s">
        <v>268</v>
      </c>
    </row>
    <row r="35" ht="21.2" customHeight="true">
      <c r="B35" s="90" t="inlineStr">
        <is>
          <t>SO-26-1068</t>
        </is>
      </c>
      <c r="C35" s="91" t="n">
        <v>46118</v>
      </c>
      <c r="D35" s="76" t="inlineStr">
        <is>
          <t>Maison Vérane</t>
        </is>
      </c>
      <c r="E35" s="92" t="s">
        <v>58</v>
      </c>
      <c r="F35" s="92" t="s">
        <v>253</v>
      </c>
      <c r="G35" s="92" t="inlineStr">
        <is>
          <t>LL-FUR-301</t>
        </is>
      </c>
      <c r="H35" s="76" t="str">
        <f>IFERROR(INDEX('Product Catalog'!$C$7:$C$22,MATCH(G35,'Product Catalog'!$B$7:$B$22,0)),"")</f>
        <v>Tove Solid Oak Dining Chair</v>
      </c>
      <c r="I35" s="92" t="str">
        <f>IFERROR(INDEX('Product Catalog'!$D$7:$D$22,MATCH(G35,'Product Catalog'!$B$7:$B$22,0)),"")</f>
        <v>Furniture</v>
      </c>
      <c r="J35" s="93" t="n">
        <v>96</v>
      </c>
      <c r="K35" s="80" t="str">
        <f>IFERROR(INDEX('Regional Markets'!$D$8:$D$15,MATCH(E35,'Regional Markets'!$B$8:$B$15,0)),"")</f>
        <v>EUR</v>
      </c>
      <c r="L35" s="94">
        <f>ROUND(INDEX('Product Catalog'!$I$7:$I$22,MATCH(G35,'Product Catalog'!$B$7:$B$22,0))*INDEX('Regional Markets'!$E$8:$E$15,MATCH(E35,'Regional Markets'!$B$8:$B$15,0)),IF(K35="JPY",0,2))</f>
        <v>225.4</v>
      </c>
      <c r="M35" s="79" t="n">
        <v>0.06</v>
      </c>
      <c r="N35" s="94">
        <f>J35*L35*(1-M35)</f>
        <v>20340.096</v>
      </c>
      <c r="O35" s="78">
        <f>N35/INDEX('Regional Markets'!$E$8:$E$15,MATCH(E35,'Regional Markets'!$B$8:$B$15,0))</f>
        <v>22108.8</v>
      </c>
      <c r="P35" s="80" t="s">
        <v>227</v>
      </c>
      <c r="Q35" s="91" t="n">
        <v>46150</v>
      </c>
      <c r="R35" s="76" t="s">
        <v>269</v>
      </c>
    </row>
    <row r="36" ht="34.4" customHeight="true">
      <c r="B36" s="90" t="inlineStr">
        <is>
          <t>SO-26-1069</t>
        </is>
      </c>
      <c r="C36" s="91" t="n">
        <v>46127</v>
      </c>
      <c r="D36" s="76" t="inlineStr">
        <is>
          <t>Hinoki Living</t>
        </is>
      </c>
      <c r="E36" s="92" t="s">
        <v>60</v>
      </c>
      <c r="F36" s="92" t="s">
        <v>249</v>
      </c>
      <c r="G36" s="92" t="inlineStr">
        <is>
          <t>LL-KIT-406</t>
        </is>
      </c>
      <c r="H36" s="76" t="str">
        <f>IFERROR(INDEX('Product Catalog'!$C$7:$C$22,MATCH(G36,'Product Catalog'!$B$7:$B$22,0)),"")</f>
        <v>Aska Enamelled Cast Iron Casserole</v>
      </c>
      <c r="I36" s="92" t="str">
        <f>IFERROR(INDEX('Product Catalog'!$D$7:$D$22,MATCH(G36,'Product Catalog'!$B$7:$B$22,0)),"")</f>
        <v>Kitchen &amp; Dining</v>
      </c>
      <c r="J36" s="93" t="n">
        <v>56</v>
      </c>
      <c r="K36" s="80" t="str">
        <f>IFERROR(INDEX('Regional Markets'!$D$8:$D$15,MATCH(E36,'Regional Markets'!$B$8:$B$15,0)),"")</f>
        <v>JPY</v>
      </c>
      <c r="L36" s="94">
        <f>ROUND(INDEX('Product Catalog'!$I$7:$I$22,MATCH(G36,'Product Catalog'!$B$7:$B$22,0))*INDEX('Regional Markets'!$E$8:$E$15,MATCH(E36,'Regional Markets'!$B$8:$B$15,0)),IF(K36="JPY",0,2))</f>
        <v>31080</v>
      </c>
      <c r="M36" s="79" t="n">
        <v>0.045</v>
      </c>
      <c r="N36" s="94">
        <f>J36*L36*(1-M36)</f>
        <v>1662158.4</v>
      </c>
      <c r="O36" s="78">
        <f>N36/INDEX('Regional Markets'!$E$8:$E$15,MATCH(E36,'Regional Markets'!$B$8:$B$15,0))</f>
        <v>11230.8</v>
      </c>
      <c r="P36" s="80" t="s">
        <v>227</v>
      </c>
      <c r="Q36" s="91" t="n">
        <v>46167</v>
      </c>
      <c r="R36" s="76" t="s">
        <v>270</v>
      </c>
    </row>
    <row r="37" ht="34.4" customHeight="true">
      <c r="B37" s="90" t="inlineStr">
        <is>
          <t>SO-26-1070</t>
        </is>
      </c>
      <c r="C37" s="91" t="n">
        <v>46132</v>
      </c>
      <c r="D37" s="76" t="inlineStr">
        <is>
          <t>Westfield Living Co.</t>
        </is>
      </c>
      <c r="E37" s="92" t="s">
        <v>52</v>
      </c>
      <c r="F37" s="92" t="s">
        <v>247</v>
      </c>
      <c r="G37" s="92" t="inlineStr">
        <is>
          <t>LL-KIT-406</t>
        </is>
      </c>
      <c r="H37" s="76" t="str">
        <f>IFERROR(INDEX('Product Catalog'!$C$7:$C$22,MATCH(G37,'Product Catalog'!$B$7:$B$22,0)),"")</f>
        <v>Aska Enamelled Cast Iron Casserole</v>
      </c>
      <c r="I37" s="92" t="str">
        <f>IFERROR(INDEX('Product Catalog'!$D$7:$D$22,MATCH(G37,'Product Catalog'!$B$7:$B$22,0)),"")</f>
        <v>Kitchen &amp; Dining</v>
      </c>
      <c r="J37" s="93" t="n">
        <v>44</v>
      </c>
      <c r="K37" s="80" t="str">
        <f>IFERROR(INDEX('Regional Markets'!$D$8:$D$15,MATCH(E37,'Regional Markets'!$B$8:$B$15,0)),"")</f>
        <v>USD</v>
      </c>
      <c r="L37" s="94">
        <f>ROUND(INDEX('Product Catalog'!$I$7:$I$22,MATCH(G37,'Product Catalog'!$B$7:$B$22,0))*INDEX('Regional Markets'!$E$8:$E$15,MATCH(E37,'Regional Markets'!$B$8:$B$15,0)),IF(K37="JPY",0,2))</f>
        <v>210</v>
      </c>
      <c r="M37" s="79" t="n">
        <v>0.095</v>
      </c>
      <c r="N37" s="94">
        <f>J37*L37*(1-M37)</f>
        <v>8362.2</v>
      </c>
      <c r="O37" s="78">
        <f>N37/INDEX('Regional Markets'!$E$8:$E$15,MATCH(E37,'Regional Markets'!$B$8:$B$15,0))</f>
        <v>8362.2</v>
      </c>
      <c r="P37" s="80" t="s">
        <v>227</v>
      </c>
      <c r="Q37" s="91" t="n">
        <v>46167</v>
      </c>
      <c r="R37" s="76" t="s">
        <v>257</v>
      </c>
    </row>
    <row r="38" ht="47.6" customHeight="true">
      <c r="B38" s="90" t="inlineStr">
        <is>
          <t>SO-26-1071</t>
        </is>
      </c>
      <c r="C38" s="91" t="n">
        <v>46132</v>
      </c>
      <c r="D38" s="76" t="s">
        <v>244</v>
      </c>
      <c r="E38" s="92" t="s">
        <v>52</v>
      </c>
      <c r="F38" s="92" t="s">
        <v>245</v>
      </c>
      <c r="G38" s="92" t="inlineStr">
        <is>
          <t>LL-DEC-507</t>
        </is>
      </c>
      <c r="H38" s="76" t="str">
        <f>IFERROR(INDEX('Product Catalog'!$C$7:$C$22,MATCH(G38,'Product Catalog'!$B$7:$B$22,0)),"")</f>
        <v>Tarn Wool Area Rug</v>
      </c>
      <c r="I38" s="92" t="str">
        <f>IFERROR(INDEX('Product Catalog'!$D$7:$D$22,MATCH(G38,'Product Catalog'!$B$7:$B$22,0)),"")</f>
        <v>Decor &amp; Rugs</v>
      </c>
      <c r="J38" s="93" t="n">
        <v>44</v>
      </c>
      <c r="K38" s="80" t="str">
        <f>IFERROR(INDEX('Regional Markets'!$D$8:$D$15,MATCH(E38,'Regional Markets'!$B$8:$B$15,0)),"")</f>
        <v>USD</v>
      </c>
      <c r="L38" s="94">
        <f>ROUND(INDEX('Product Catalog'!$I$7:$I$22,MATCH(G38,'Product Catalog'!$B$7:$B$22,0))*INDEX('Regional Markets'!$E$8:$E$15,MATCH(E38,'Regional Markets'!$B$8:$B$15,0)),IF(K38="JPY",0,2))</f>
        <v>540</v>
      </c>
      <c r="M38" s="79" t="n">
        <v>0.175</v>
      </c>
      <c r="N38" s="94">
        <f>J38*L38*(1-M38)</f>
        <v>19602</v>
      </c>
      <c r="O38" s="78">
        <f>N38/INDEX('Regional Markets'!$E$8:$E$15,MATCH(E38,'Regional Markets'!$B$8:$B$15,0))</f>
        <v>19602</v>
      </c>
      <c r="P38" s="80" t="s">
        <v>227</v>
      </c>
      <c r="Q38" s="91" t="n">
        <v>46162</v>
      </c>
      <c r="R38" s="76" t="s">
        <v>271</v>
      </c>
    </row>
    <row r="39" ht="34.4" customHeight="true">
      <c r="B39" s="90" t="inlineStr">
        <is>
          <t>SO-26-1072</t>
        </is>
      </c>
      <c r="C39" s="91" t="n">
        <v>46135</v>
      </c>
      <c r="D39" s="76" t="inlineStr">
        <is>
          <t>Harbor &amp; Pine Home</t>
        </is>
      </c>
      <c r="E39" s="92" t="s">
        <v>52</v>
      </c>
      <c r="F39" s="92" t="s">
        <v>253</v>
      </c>
      <c r="G39" s="92" t="inlineStr">
        <is>
          <t>LL-TXT-214</t>
        </is>
      </c>
      <c r="H39" s="76" t="str">
        <f>IFERROR(INDEX('Product Catalog'!$C$7:$C$22,MATCH(G39,'Product Catalog'!$B$7:$B$22,0)),"")</f>
        <v>Kesa Organic Cotton Towel Set</v>
      </c>
      <c r="I39" s="92" t="str">
        <f>IFERROR(INDEX('Product Catalog'!$D$7:$D$22,MATCH(G39,'Product Catalog'!$B$7:$B$22,0)),"")</f>
        <v>Textiles</v>
      </c>
      <c r="J39" s="93" t="n">
        <v>144</v>
      </c>
      <c r="K39" s="80" t="str">
        <f>IFERROR(INDEX('Regional Markets'!$D$8:$D$15,MATCH(E39,'Regional Markets'!$B$8:$B$15,0)),"")</f>
        <v>USD</v>
      </c>
      <c r="L39" s="94">
        <f>ROUND(INDEX('Product Catalog'!$I$7:$I$22,MATCH(G39,'Product Catalog'!$B$7:$B$22,0))*INDEX('Regional Markets'!$E$8:$E$15,MATCH(E39,'Regional Markets'!$B$8:$B$15,0)),IF(K39="JPY",0,2))</f>
        <v>79</v>
      </c>
      <c r="M39" s="79" t="n">
        <v>0.095</v>
      </c>
      <c r="N39" s="94">
        <f>J39*L39*(1-M39)</f>
        <v>10295.28</v>
      </c>
      <c r="O39" s="78">
        <f>N39/INDEX('Regional Markets'!$E$8:$E$15,MATCH(E39,'Regional Markets'!$B$8:$B$15,0))</f>
        <v>10295.28</v>
      </c>
      <c r="P39" s="80" t="s">
        <v>227</v>
      </c>
      <c r="Q39" s="91" t="n">
        <v>46164</v>
      </c>
      <c r="R39" s="76" t="s">
        <v>265</v>
      </c>
    </row>
    <row r="40" ht="34.4" customHeight="true">
      <c r="B40" s="90" t="inlineStr">
        <is>
          <t>SO-26-1073</t>
        </is>
      </c>
      <c r="C40" s="91" t="n">
        <v>46135</v>
      </c>
      <c r="D40" s="76" t="inlineStr">
        <is>
          <t>Ashcombe &amp; Reed</t>
        </is>
      </c>
      <c r="E40" s="92" t="s">
        <v>55</v>
      </c>
      <c r="F40" s="92" t="s">
        <v>247</v>
      </c>
      <c r="G40" s="92" t="inlineStr">
        <is>
          <t>LL-DEC-507</t>
        </is>
      </c>
      <c r="H40" s="76" t="str">
        <f>IFERROR(INDEX('Product Catalog'!$C$7:$C$22,MATCH(G40,'Product Catalog'!$B$7:$B$22,0)),"")</f>
        <v>Tarn Wool Area Rug</v>
      </c>
      <c r="I40" s="92" t="str">
        <f>IFERROR(INDEX('Product Catalog'!$D$7:$D$22,MATCH(G40,'Product Catalog'!$B$7:$B$22,0)),"")</f>
        <v>Decor &amp; Rugs</v>
      </c>
      <c r="J40" s="93" t="n">
        <v>60</v>
      </c>
      <c r="K40" s="80" t="str">
        <f>IFERROR(INDEX('Regional Markets'!$D$8:$D$15,MATCH(E40,'Regional Markets'!$B$8:$B$15,0)),"")</f>
        <v>GBP</v>
      </c>
      <c r="L40" s="94">
        <f>ROUND(INDEX('Product Catalog'!$I$7:$I$22,MATCH(G40,'Product Catalog'!$B$7:$B$22,0))*INDEX('Regional Markets'!$E$8:$E$15,MATCH(E40,'Regional Markets'!$B$8:$B$15,0)),IF(K40="JPY",0,2))</f>
        <v>421.2</v>
      </c>
      <c r="M40" s="79" t="n">
        <v>0.1</v>
      </c>
      <c r="N40" s="94">
        <f>J40*L40*(1-M40)</f>
        <v>22744.8</v>
      </c>
      <c r="O40" s="78">
        <f>N40/INDEX('Regional Markets'!$E$8:$E$15,MATCH(E40,'Regional Markets'!$B$8:$B$15,0))</f>
        <v>29160</v>
      </c>
      <c r="P40" s="80" t="s">
        <v>227</v>
      </c>
      <c r="Q40" s="91" t="n">
        <v>46167</v>
      </c>
      <c r="R40" s="76" t="s">
        <v>272</v>
      </c>
    </row>
    <row r="41" ht="34.4" customHeight="true">
      <c r="B41" s="90" t="inlineStr">
        <is>
          <t>SO-26-1074</t>
        </is>
      </c>
      <c r="C41" s="91" t="n">
        <v>46136</v>
      </c>
      <c r="D41" s="76" t="inlineStr">
        <is>
          <t>Wohnhaus Berger GmbH</t>
        </is>
      </c>
      <c r="E41" s="92" t="s">
        <v>57</v>
      </c>
      <c r="F41" s="92" t="s">
        <v>253</v>
      </c>
      <c r="G41" s="92" t="inlineStr">
        <is>
          <t>LL-LGT-104</t>
        </is>
      </c>
      <c r="H41" s="76" t="str">
        <f>IFERROR(INDEX('Product Catalog'!$C$7:$C$22,MATCH(G41,'Product Catalog'!$B$7:$B$22,0)),"")</f>
        <v>Sora Ceramic Table Lamp</v>
      </c>
      <c r="I41" s="92" t="str">
        <f>IFERROR(INDEX('Product Catalog'!$D$7:$D$22,MATCH(G41,'Product Catalog'!$B$7:$B$22,0)),"")</f>
        <v>Lighting</v>
      </c>
      <c r="J41" s="93" t="n">
        <v>84</v>
      </c>
      <c r="K41" s="80" t="str">
        <f>IFERROR(INDEX('Regional Markets'!$D$8:$D$15,MATCH(E41,'Regional Markets'!$B$8:$B$15,0)),"")</f>
        <v>EUR</v>
      </c>
      <c r="L41" s="94">
        <f>ROUND(INDEX('Product Catalog'!$I$7:$I$22,MATCH(G41,'Product Catalog'!$B$7:$B$22,0))*INDEX('Regional Markets'!$E$8:$E$15,MATCH(E41,'Regional Markets'!$B$8:$B$15,0)),IF(K41="JPY",0,2))</f>
        <v>137.08</v>
      </c>
      <c r="M41" s="79" t="n">
        <v>0.065</v>
      </c>
      <c r="N41" s="94">
        <f>J41*L41*(1-M41)</f>
        <v>10766.2632</v>
      </c>
      <c r="O41" s="78">
        <f>N41/INDEX('Regional Markets'!$E$8:$E$15,MATCH(E41,'Regional Markets'!$B$8:$B$15,0))</f>
        <v>11702.46</v>
      </c>
      <c r="P41" s="80" t="s">
        <v>227</v>
      </c>
      <c r="Q41" s="91" t="n">
        <v>46170</v>
      </c>
      <c r="R41" s="76" t="s">
        <v>268</v>
      </c>
    </row>
    <row r="42" ht="34.4" customHeight="true">
      <c r="B42" s="90" t="inlineStr">
        <is>
          <t>SO-26-1075</t>
        </is>
      </c>
      <c r="C42" s="91" t="n">
        <v>46139</v>
      </c>
      <c r="D42" s="76" t="inlineStr">
        <is>
          <t>Northbay Home Supply</t>
        </is>
      </c>
      <c r="E42" s="92" t="s">
        <v>54</v>
      </c>
      <c r="F42" s="92" t="s">
        <v>247</v>
      </c>
      <c r="G42" s="92" t="inlineStr">
        <is>
          <t>LL-DEC-507</t>
        </is>
      </c>
      <c r="H42" s="76" t="str">
        <f>IFERROR(INDEX('Product Catalog'!$C$7:$C$22,MATCH(G42,'Product Catalog'!$B$7:$B$22,0)),"")</f>
        <v>Tarn Wool Area Rug</v>
      </c>
      <c r="I42" s="92" t="str">
        <f>IFERROR(INDEX('Product Catalog'!$D$7:$D$22,MATCH(G42,'Product Catalog'!$B$7:$B$22,0)),"")</f>
        <v>Decor &amp; Rugs</v>
      </c>
      <c r="J42" s="93" t="n">
        <v>44</v>
      </c>
      <c r="K42" s="80" t="str">
        <f>IFERROR(INDEX('Regional Markets'!$D$8:$D$15,MATCH(E42,'Regional Markets'!$B$8:$B$15,0)),"")</f>
        <v>CAD</v>
      </c>
      <c r="L42" s="94">
        <f>ROUND(INDEX('Product Catalog'!$I$7:$I$22,MATCH(G42,'Product Catalog'!$B$7:$B$22,0))*INDEX('Regional Markets'!$E$8:$E$15,MATCH(E42,'Regional Markets'!$B$8:$B$15,0)),IF(K42="JPY",0,2))</f>
        <v>739.8</v>
      </c>
      <c r="M42" s="79" t="n">
        <v>0.125</v>
      </c>
      <c r="N42" s="94">
        <f>J42*L42*(1-M42)</f>
        <v>28482.3</v>
      </c>
      <c r="O42" s="78">
        <f>N42/INDEX('Regional Markets'!$E$8:$E$15,MATCH(E42,'Regional Markets'!$B$8:$B$15,0))</f>
        <v>20790</v>
      </c>
      <c r="P42" s="80" t="s">
        <v>227</v>
      </c>
      <c r="Q42" s="91" t="n">
        <v>46174</v>
      </c>
      <c r="R42" s="76" t="s">
        <v>273</v>
      </c>
    </row>
    <row r="43" ht="34.4" customHeight="true">
      <c r="B43" s="90" t="inlineStr">
        <is>
          <t>SO-26-1076</t>
        </is>
      </c>
      <c r="C43" s="91" t="n">
        <v>46139</v>
      </c>
      <c r="D43" s="76" t="inlineStr">
        <is>
          <t>Maple Street Interiors</t>
        </is>
      </c>
      <c r="E43" s="92" t="s">
        <v>54</v>
      </c>
      <c r="F43" s="92" t="s">
        <v>253</v>
      </c>
      <c r="G43" s="92" t="inlineStr">
        <is>
          <t>LL-LGT-104</t>
        </is>
      </c>
      <c r="H43" s="76" t="str">
        <f>IFERROR(INDEX('Product Catalog'!$C$7:$C$22,MATCH(G43,'Product Catalog'!$B$7:$B$22,0)),"")</f>
        <v>Sora Ceramic Table Lamp</v>
      </c>
      <c r="I43" s="92" t="str">
        <f>IFERROR(INDEX('Product Catalog'!$D$7:$D$22,MATCH(G43,'Product Catalog'!$B$7:$B$22,0)),"")</f>
        <v>Lighting</v>
      </c>
      <c r="J43" s="93" t="n">
        <v>300</v>
      </c>
      <c r="K43" s="80" t="str">
        <f>IFERROR(INDEX('Regional Markets'!$D$8:$D$15,MATCH(E43,'Regional Markets'!$B$8:$B$15,0)),"")</f>
        <v>CAD</v>
      </c>
      <c r="L43" s="94">
        <f>ROUND(INDEX('Product Catalog'!$I$7:$I$22,MATCH(G43,'Product Catalog'!$B$7:$B$22,0))*INDEX('Regional Markets'!$E$8:$E$15,MATCH(E43,'Regional Markets'!$B$8:$B$15,0)),IF(K43="JPY",0,2))</f>
        <v>204.13</v>
      </c>
      <c r="M43" s="79" t="n">
        <v>0.095</v>
      </c>
      <c r="N43" s="94">
        <f>J43*L43*(1-M43)</f>
        <v>55421.295</v>
      </c>
      <c r="O43" s="78">
        <f>N43/INDEX('Regional Markets'!$E$8:$E$15,MATCH(E43,'Regional Markets'!$B$8:$B$15,0))</f>
        <v>40453.5</v>
      </c>
      <c r="P43" s="80" t="s">
        <v>227</v>
      </c>
      <c r="Q43" s="91" t="n">
        <v>46181</v>
      </c>
      <c r="R43" s="76" t="s">
        <v>274</v>
      </c>
    </row>
    <row r="44" ht="47.6" customHeight="true">
      <c r="B44" s="90" t="inlineStr">
        <is>
          <t>SO-26-1077</t>
        </is>
      </c>
      <c r="C44" s="91" t="n">
        <v>46143</v>
      </c>
      <c r="D44" s="76" t="inlineStr">
        <is>
          <t>Kurashi Select</t>
        </is>
      </c>
      <c r="E44" s="92" t="s">
        <v>60</v>
      </c>
      <c r="F44" s="92" t="s">
        <v>253</v>
      </c>
      <c r="G44" s="92" t="inlineStr">
        <is>
          <t>LL-TXT-205</t>
        </is>
      </c>
      <c r="H44" s="76" t="str">
        <f>IFERROR(INDEX('Product Catalog'!$C$7:$C$22,MATCH(G44,'Product Catalog'!$B$7:$B$22,0)),"")</f>
        <v>Fell Merino Wool Throw</v>
      </c>
      <c r="I44" s="92" t="str">
        <f>IFERROR(INDEX('Product Catalog'!$D$7:$D$22,MATCH(G44,'Product Catalog'!$B$7:$B$22,0)),"")</f>
        <v>Textiles</v>
      </c>
      <c r="J44" s="93" t="n">
        <v>216</v>
      </c>
      <c r="K44" s="80" t="str">
        <f>IFERROR(INDEX('Regional Markets'!$D$8:$D$15,MATCH(E44,'Regional Markets'!$B$8:$B$15,0)),"")</f>
        <v>JPY</v>
      </c>
      <c r="L44" s="94">
        <f>ROUND(INDEX('Product Catalog'!$I$7:$I$22,MATCH(G44,'Product Catalog'!$B$7:$B$22,0))*INDEX('Regional Markets'!$E$8:$E$15,MATCH(E44,'Regional Markets'!$B$8:$B$15,0)),IF(K44="JPY",0,2))</f>
        <v>19092</v>
      </c>
      <c r="M44" s="79" t="n">
        <v>0.09</v>
      </c>
      <c r="N44" s="94">
        <f>J44*L44*(1-M44)</f>
        <v>3752723.52</v>
      </c>
      <c r="O44" s="78">
        <f>N44/INDEX('Regional Markets'!$E$8:$E$15,MATCH(E44,'Regional Markets'!$B$8:$B$15,0))</f>
        <v>25356.24</v>
      </c>
      <c r="P44" s="80" t="s">
        <v>227</v>
      </c>
      <c r="Q44" s="91" t="n">
        <v>46181</v>
      </c>
      <c r="R44" s="76" t="s">
        <v>259</v>
      </c>
    </row>
    <row r="45" ht="21.2" customHeight="true">
      <c r="B45" s="90" t="inlineStr">
        <is>
          <t>SO-26-1078</t>
        </is>
      </c>
      <c r="C45" s="91" t="n">
        <v>46143</v>
      </c>
      <c r="D45" s="76" t="inlineStr">
        <is>
          <t>Galeries Ombre</t>
        </is>
      </c>
      <c r="E45" s="92" t="s">
        <v>58</v>
      </c>
      <c r="F45" s="92" t="s">
        <v>247</v>
      </c>
      <c r="G45" s="92" t="inlineStr">
        <is>
          <t>LL-TXT-205</t>
        </is>
      </c>
      <c r="H45" s="76" t="str">
        <f>IFERROR(INDEX('Product Catalog'!$C$7:$C$22,MATCH(G45,'Product Catalog'!$B$7:$B$22,0)),"")</f>
        <v>Fell Merino Wool Throw</v>
      </c>
      <c r="I45" s="92" t="str">
        <f>IFERROR(INDEX('Product Catalog'!$D$7:$D$22,MATCH(G45,'Product Catalog'!$B$7:$B$22,0)),"")</f>
        <v>Textiles</v>
      </c>
      <c r="J45" s="93" t="n">
        <v>252</v>
      </c>
      <c r="K45" s="80" t="str">
        <f>IFERROR(INDEX('Regional Markets'!$D$8:$D$15,MATCH(E45,'Regional Markets'!$B$8:$B$15,0)),"")</f>
        <v>EUR</v>
      </c>
      <c r="L45" s="94">
        <f>ROUND(INDEX('Product Catalog'!$I$7:$I$22,MATCH(G45,'Product Catalog'!$B$7:$B$22,0))*INDEX('Regional Markets'!$E$8:$E$15,MATCH(E45,'Regional Markets'!$B$8:$B$15,0)),IF(K45="JPY",0,2))</f>
        <v>118.68</v>
      </c>
      <c r="M45" s="79" t="n">
        <v>0.105</v>
      </c>
      <c r="N45" s="94">
        <f>J45*L45*(1-M45)</f>
        <v>26767.0872</v>
      </c>
      <c r="O45" s="78">
        <f>N45/INDEX('Regional Markets'!$E$8:$E$15,MATCH(E45,'Regional Markets'!$B$8:$B$15,0))</f>
        <v>29094.66</v>
      </c>
      <c r="P45" s="80" t="s">
        <v>227</v>
      </c>
      <c r="Q45" s="91" t="n">
        <v>46183</v>
      </c>
      <c r="R45" s="76" t="s">
        <v>275</v>
      </c>
    </row>
    <row r="46" ht="34.4" customHeight="true">
      <c r="B46" s="90" t="inlineStr">
        <is>
          <t>SO-26-1079</t>
        </is>
      </c>
      <c r="C46" s="91" t="n">
        <v>46143</v>
      </c>
      <c r="D46" s="76" t="inlineStr">
        <is>
          <t>Kurashi Select</t>
        </is>
      </c>
      <c r="E46" s="92" t="s">
        <v>60</v>
      </c>
      <c r="F46" s="92" t="s">
        <v>253</v>
      </c>
      <c r="G46" s="92" t="inlineStr">
        <is>
          <t>LL-KIT-410</t>
        </is>
      </c>
      <c r="H46" s="76" t="str">
        <f>IFERROR(INDEX('Product Catalog'!$C$7:$C$22,MATCH(G46,'Product Catalog'!$B$7:$B$22,0)),"")</f>
        <v>Rune Acacia Serving Board</v>
      </c>
      <c r="I46" s="92" t="str">
        <f>IFERROR(INDEX('Product Catalog'!$D$7:$D$22,MATCH(G46,'Product Catalog'!$B$7:$B$22,0)),"")</f>
        <v>Kitchen &amp; Dining</v>
      </c>
      <c r="J46" s="93" t="n">
        <v>384</v>
      </c>
      <c r="K46" s="80" t="str">
        <f>IFERROR(INDEX('Regional Markets'!$D$8:$D$15,MATCH(E46,'Regional Markets'!$B$8:$B$15,0)),"")</f>
        <v>JPY</v>
      </c>
      <c r="L46" s="94">
        <f>ROUND(INDEX('Product Catalog'!$I$7:$I$22,MATCH(G46,'Product Catalog'!$B$7:$B$22,0))*INDEX('Regional Markets'!$E$8:$E$15,MATCH(E46,'Regional Markets'!$B$8:$B$15,0)),IF(K46="JPY",0,2))</f>
        <v>8584</v>
      </c>
      <c r="M46" s="79" t="n">
        <v>0.105</v>
      </c>
      <c r="N46" s="94">
        <f>J46*L46*(1-M46)</f>
        <v>2950149.12</v>
      </c>
      <c r="O46" s="78">
        <f>N46/INDEX('Regional Markets'!$E$8:$E$15,MATCH(E46,'Regional Markets'!$B$8:$B$15,0))</f>
        <v>19933.44</v>
      </c>
      <c r="P46" s="80" t="s">
        <v>227</v>
      </c>
      <c r="Q46" s="91" t="n">
        <v>46185</v>
      </c>
      <c r="R46" s="76" t="s">
        <v>276</v>
      </c>
    </row>
    <row r="47" ht="34.4" customHeight="true">
      <c r="B47" s="90" t="inlineStr">
        <is>
          <t>SO-26-1080</t>
        </is>
      </c>
      <c r="C47" s="91" t="n">
        <v>46146</v>
      </c>
      <c r="D47" s="76" t="inlineStr">
        <is>
          <t>Maple Street Interiors</t>
        </is>
      </c>
      <c r="E47" s="92" t="s">
        <v>54</v>
      </c>
      <c r="F47" s="92" t="s">
        <v>253</v>
      </c>
      <c r="G47" s="92" t="inlineStr">
        <is>
          <t>LL-TXT-214</t>
        </is>
      </c>
      <c r="H47" s="76" t="str">
        <f>IFERROR(INDEX('Product Catalog'!$C$7:$C$22,MATCH(G47,'Product Catalog'!$B$7:$B$22,0)),"")</f>
        <v>Kesa Organic Cotton Towel Set</v>
      </c>
      <c r="I47" s="92" t="str">
        <f>IFERROR(INDEX('Product Catalog'!$D$7:$D$22,MATCH(G47,'Product Catalog'!$B$7:$B$22,0)),"")</f>
        <v>Textiles</v>
      </c>
      <c r="J47" s="93" t="n">
        <v>84</v>
      </c>
      <c r="K47" s="80" t="str">
        <f>IFERROR(INDEX('Regional Markets'!$D$8:$D$15,MATCH(E47,'Regional Markets'!$B$8:$B$15,0)),"")</f>
        <v>CAD</v>
      </c>
      <c r="L47" s="94">
        <f>ROUND(INDEX('Product Catalog'!$I$7:$I$22,MATCH(G47,'Product Catalog'!$B$7:$B$22,0))*INDEX('Regional Markets'!$E$8:$E$15,MATCH(E47,'Regional Markets'!$B$8:$B$15,0)),IF(K47="JPY",0,2))</f>
        <v>108.23</v>
      </c>
      <c r="M47" s="79" t="n">
        <v>0.045</v>
      </c>
      <c r="N47" s="94">
        <f>J47*L47*(1-M47)</f>
        <v>8682.2106</v>
      </c>
      <c r="O47" s="78">
        <f>N47/INDEX('Regional Markets'!$E$8:$E$15,MATCH(E47,'Regional Markets'!$B$8:$B$15,0))</f>
        <v>6337.38</v>
      </c>
      <c r="P47" s="80" t="s">
        <v>227</v>
      </c>
      <c r="Q47" s="91" t="n">
        <v>46176</v>
      </c>
      <c r="R47" s="76" t="s">
        <v>264</v>
      </c>
    </row>
    <row r="48" ht="34.4" customHeight="true">
      <c r="B48" s="90" t="inlineStr">
        <is>
          <t>SO-26-1081</t>
        </is>
      </c>
      <c r="C48" s="91" t="n">
        <v>46149</v>
      </c>
      <c r="D48" s="76" t="inlineStr">
        <is>
          <t>Wohnhaus Berger GmbH</t>
        </is>
      </c>
      <c r="E48" s="92" t="s">
        <v>57</v>
      </c>
      <c r="F48" s="92" t="s">
        <v>253</v>
      </c>
      <c r="G48" s="92" t="inlineStr">
        <is>
          <t>LL-LGT-101</t>
        </is>
      </c>
      <c r="H48" s="76" t="str">
        <f>IFERROR(INDEX('Product Catalog'!$C$7:$C$22,MATCH(G48,'Product Catalog'!$B$7:$B$22,0)),"")</f>
        <v>Halden Linen Pendant Lamp</v>
      </c>
      <c r="I48" s="92" t="str">
        <f>IFERROR(INDEX('Product Catalog'!$D$7:$D$22,MATCH(G48,'Product Catalog'!$B$7:$B$22,0)),"")</f>
        <v>Lighting</v>
      </c>
      <c r="J48" s="93" t="n">
        <v>88</v>
      </c>
      <c r="K48" s="80" t="str">
        <f>IFERROR(INDEX('Regional Markets'!$D$8:$D$15,MATCH(E48,'Regional Markets'!$B$8:$B$15,0)),"")</f>
        <v>EUR</v>
      </c>
      <c r="L48" s="94">
        <f>ROUND(INDEX('Product Catalog'!$I$7:$I$22,MATCH(G48,'Product Catalog'!$B$7:$B$22,0))*INDEX('Regional Markets'!$E$8:$E$15,MATCH(E48,'Regional Markets'!$B$8:$B$15,0)),IF(K48="JPY",0,2))</f>
        <v>173.88</v>
      </c>
      <c r="M48" s="79" t="n">
        <v>0.045</v>
      </c>
      <c r="N48" s="94">
        <f>J48*L48*(1-M48)</f>
        <v>14612.8752</v>
      </c>
      <c r="O48" s="78">
        <f>N48/INDEX('Regional Markets'!$E$8:$E$15,MATCH(E48,'Regional Markets'!$B$8:$B$15,0))</f>
        <v>15883.56</v>
      </c>
      <c r="P48" s="80" t="s">
        <v>10</v>
      </c>
      <c r="Q48" s="91" t="n">
        <v>46175</v>
      </c>
      <c r="R48" s="76" t="s">
        <v>268</v>
      </c>
    </row>
    <row r="49" ht="34.4" customHeight="true">
      <c r="B49" s="90" t="inlineStr">
        <is>
          <t>SO-26-1082</t>
        </is>
      </c>
      <c r="C49" s="91" t="n">
        <v>46150</v>
      </c>
      <c r="D49" s="76" t="inlineStr">
        <is>
          <t>Maple Street Interiors</t>
        </is>
      </c>
      <c r="E49" s="92" t="s">
        <v>54</v>
      </c>
      <c r="F49" s="92" t="s">
        <v>253</v>
      </c>
      <c r="G49" s="92" t="inlineStr">
        <is>
          <t>LL-FUR-309</t>
        </is>
      </c>
      <c r="H49" s="76" t="str">
        <f>IFERROR(INDEX('Product Catalog'!$C$7:$C$22,MATCH(G49,'Product Catalog'!$B$7:$B$22,0)),"")</f>
        <v>Otto Rattan Lounge Chair</v>
      </c>
      <c r="I49" s="92" t="str">
        <f>IFERROR(INDEX('Product Catalog'!$D$7:$D$22,MATCH(G49,'Product Catalog'!$B$7:$B$22,0)),"")</f>
        <v>Furniture</v>
      </c>
      <c r="J49" s="93" t="n">
        <v>48</v>
      </c>
      <c r="K49" s="80" t="str">
        <f>IFERROR(INDEX('Regional Markets'!$D$8:$D$15,MATCH(E49,'Regional Markets'!$B$8:$B$15,0)),"")</f>
        <v>CAD</v>
      </c>
      <c r="L49" s="94">
        <f>ROUND(INDEX('Product Catalog'!$I$7:$I$22,MATCH(G49,'Product Catalog'!$B$7:$B$22,0))*INDEX('Regional Markets'!$E$8:$E$15,MATCH(E49,'Regional Markets'!$B$8:$B$15,0)),IF(K49="JPY",0,2))</f>
        <v>945.3</v>
      </c>
      <c r="M49" s="79" t="n">
        <v>0.055</v>
      </c>
      <c r="N49" s="94">
        <f>J49*L49*(1-M49)</f>
        <v>42878.808</v>
      </c>
      <c r="O49" s="78">
        <f>N49/INDEX('Regional Markets'!$E$8:$E$15,MATCH(E49,'Regional Markets'!$B$8:$B$15,0))</f>
        <v>31298.4</v>
      </c>
      <c r="P49" s="80" t="s">
        <v>227</v>
      </c>
      <c r="Q49" s="91" t="n">
        <v>46178</v>
      </c>
      <c r="R49" s="76" t="s">
        <v>264</v>
      </c>
    </row>
    <row r="50" ht="47.6" customHeight="true">
      <c r="B50" s="90" t="inlineStr">
        <is>
          <t>SO-26-1083</t>
        </is>
      </c>
      <c r="C50" s="91" t="n">
        <v>46150</v>
      </c>
      <c r="D50" s="76" t="inlineStr">
        <is>
          <t>Hem &amp; Sjö Distribution AB</t>
        </is>
      </c>
      <c r="E50" s="92" t="s">
        <v>59</v>
      </c>
      <c r="F50" s="92" t="s">
        <v>260</v>
      </c>
      <c r="G50" s="92" t="inlineStr">
        <is>
          <t>LL-DEC-501</t>
        </is>
      </c>
      <c r="H50" s="76" t="str">
        <f>IFERROR(INDEX('Product Catalog'!$C$7:$C$22,MATCH(G50,'Product Catalog'!$B$7:$B$22,0)),"")</f>
        <v>Lumi Recycled Glass Vase</v>
      </c>
      <c r="I50" s="92" t="str">
        <f>IFERROR(INDEX('Product Catalog'!$D$7:$D$22,MATCH(G50,'Product Catalog'!$B$7:$B$22,0)),"")</f>
        <v>Decor &amp; Rugs</v>
      </c>
      <c r="J50" s="93" t="n">
        <v>884</v>
      </c>
      <c r="K50" s="80" t="str">
        <f>IFERROR(INDEX('Regional Markets'!$D$8:$D$15,MATCH(E50,'Regional Markets'!$B$8:$B$15,0)),"")</f>
        <v>SEK</v>
      </c>
      <c r="L50" s="94">
        <f>ROUND(INDEX('Product Catalog'!$I$7:$I$22,MATCH(G50,'Product Catalog'!$B$7:$B$22,0))*INDEX('Regional Markets'!$E$8:$E$15,MATCH(E50,'Regional Markets'!$B$8:$B$15,0)),IF(K50="JPY",0,2))</f>
        <v>678.4</v>
      </c>
      <c r="M50" s="79" t="n">
        <v>0.11</v>
      </c>
      <c r="N50" s="94">
        <f>J50*L50*(1-M50)</f>
        <v>533737.984</v>
      </c>
      <c r="O50" s="78">
        <f>N50/INDEX('Regional Markets'!$E$8:$E$15,MATCH(E50,'Regional Markets'!$B$8:$B$15,0))</f>
        <v>50352.64</v>
      </c>
      <c r="P50" s="80" t="s">
        <v>227</v>
      </c>
      <c r="Q50" s="91" t="n">
        <v>46190</v>
      </c>
      <c r="R50" s="76" t="s">
        <v>261</v>
      </c>
    </row>
    <row r="51" ht="34.4" customHeight="true">
      <c r="B51" s="90" t="inlineStr">
        <is>
          <t>SO-26-1084</t>
        </is>
      </c>
      <c r="C51" s="91" t="n">
        <v>46153</v>
      </c>
      <c r="D51" s="76" t="inlineStr">
        <is>
          <t>Hem &amp; Sjö Distribution AB</t>
        </is>
      </c>
      <c r="E51" s="92" t="s">
        <v>59</v>
      </c>
      <c r="F51" s="92" t="s">
        <v>260</v>
      </c>
      <c r="G51" s="92" t="inlineStr">
        <is>
          <t>LL-LGT-112</t>
        </is>
      </c>
      <c r="H51" s="76" t="str">
        <f>IFERROR(INDEX('Product Catalog'!$C$7:$C$22,MATCH(G51,'Product Catalog'!$B$7:$B$22,0)),"")</f>
        <v>Vik Brass Floor Lamp</v>
      </c>
      <c r="I51" s="92" t="str">
        <f>IFERROR(INDEX('Product Catalog'!$D$7:$D$22,MATCH(G51,'Product Catalog'!$B$7:$B$22,0)),"")</f>
        <v>Lighting</v>
      </c>
      <c r="J51" s="93" t="n">
        <v>108</v>
      </c>
      <c r="K51" s="80" t="str">
        <f>IFERROR(INDEX('Regional Markets'!$D$8:$D$15,MATCH(E51,'Regional Markets'!$B$8:$B$15,0)),"")</f>
        <v>SEK</v>
      </c>
      <c r="L51" s="94">
        <f>ROUND(INDEX('Product Catalog'!$I$7:$I$22,MATCH(G51,'Product Catalog'!$B$7:$B$22,0))*INDEX('Regional Markets'!$E$8:$E$15,MATCH(E51,'Regional Markets'!$B$8:$B$15,0)),IF(K51="JPY",0,2))</f>
        <v>3487.4</v>
      </c>
      <c r="M51" s="79" t="n">
        <v>0.14</v>
      </c>
      <c r="N51" s="94">
        <f>J51*L51*(1-M51)</f>
        <v>323909.712</v>
      </c>
      <c r="O51" s="78">
        <f>N51/INDEX('Regional Markets'!$E$8:$E$15,MATCH(E51,'Regional Markets'!$B$8:$B$15,0))</f>
        <v>30557.52</v>
      </c>
      <c r="P51" s="80" t="s">
        <v>227</v>
      </c>
      <c r="Q51" s="91" t="n">
        <v>46195</v>
      </c>
      <c r="R51" s="76" t="s">
        <v>277</v>
      </c>
    </row>
    <row r="52" ht="21.2" customHeight="true">
      <c r="B52" s="90" t="inlineStr">
        <is>
          <t>SO-26-1085</t>
        </is>
      </c>
      <c r="C52" s="91" t="n">
        <v>46161</v>
      </c>
      <c r="D52" s="76" t="inlineStr">
        <is>
          <t>Hinoki Living</t>
        </is>
      </c>
      <c r="E52" s="92" t="s">
        <v>60</v>
      </c>
      <c r="F52" s="92" t="s">
        <v>249</v>
      </c>
      <c r="G52" s="92" t="inlineStr">
        <is>
          <t>LL-TXT-205</t>
        </is>
      </c>
      <c r="H52" s="76" t="str">
        <f>IFERROR(INDEX('Product Catalog'!$C$7:$C$22,MATCH(G52,'Product Catalog'!$B$7:$B$22,0)),"")</f>
        <v>Fell Merino Wool Throw</v>
      </c>
      <c r="I52" s="92" t="str">
        <f>IFERROR(INDEX('Product Catalog'!$D$7:$D$22,MATCH(G52,'Product Catalog'!$B$7:$B$22,0)),"")</f>
        <v>Textiles</v>
      </c>
      <c r="J52" s="93" t="n">
        <v>240</v>
      </c>
      <c r="K52" s="80" t="str">
        <f>IFERROR(INDEX('Regional Markets'!$D$8:$D$15,MATCH(E52,'Regional Markets'!$B$8:$B$15,0)),"")</f>
        <v>JPY</v>
      </c>
      <c r="L52" s="94">
        <f>ROUND(INDEX('Product Catalog'!$I$7:$I$22,MATCH(G52,'Product Catalog'!$B$7:$B$22,0))*INDEX('Regional Markets'!$E$8:$E$15,MATCH(E52,'Regional Markets'!$B$8:$B$15,0)),IF(K52="JPY",0,2))</f>
        <v>19092</v>
      </c>
      <c r="M52" s="79" t="n">
        <v>0.03</v>
      </c>
      <c r="N52" s="94">
        <f>J52*L52*(1-M52)</f>
        <v>4444617.6</v>
      </c>
      <c r="O52" s="78">
        <f>N52/INDEX('Regional Markets'!$E$8:$E$15,MATCH(E52,'Regional Markets'!$B$8:$B$15,0))</f>
        <v>30031.2</v>
      </c>
      <c r="P52" s="80" t="s">
        <v>227</v>
      </c>
      <c r="Q52" s="91" t="n">
        <v>46202</v>
      </c>
      <c r="R52" s="76" t="s">
        <v>275</v>
      </c>
    </row>
    <row r="53" ht="21.2" customHeight="true">
      <c r="B53" s="90" t="inlineStr">
        <is>
          <t>SO-26-1086</t>
        </is>
      </c>
      <c r="C53" s="91" t="n">
        <v>46167</v>
      </c>
      <c r="D53" s="76" t="inlineStr">
        <is>
          <t>Galeries Ombre</t>
        </is>
      </c>
      <c r="E53" s="92" t="s">
        <v>58</v>
      </c>
      <c r="F53" s="92" t="s">
        <v>247</v>
      </c>
      <c r="G53" s="92" t="inlineStr">
        <is>
          <t>LL-TXT-210</t>
        </is>
      </c>
      <c r="H53" s="76" t="str">
        <f>IFERROR(INDEX('Product Catalog'!$C$7:$C$22,MATCH(G53,'Product Catalog'!$B$7:$B$22,0)),"")</f>
        <v>Marlow Hand-Loomed Cushion Cover</v>
      </c>
      <c r="I53" s="92" t="str">
        <f>IFERROR(INDEX('Product Catalog'!$D$7:$D$22,MATCH(G53,'Product Catalog'!$B$7:$B$22,0)),"")</f>
        <v>Textiles</v>
      </c>
      <c r="J53" s="93" t="n">
        <v>552</v>
      </c>
      <c r="K53" s="80" t="str">
        <f>IFERROR(INDEX('Regional Markets'!$D$8:$D$15,MATCH(E53,'Regional Markets'!$B$8:$B$15,0)),"")</f>
        <v>EUR</v>
      </c>
      <c r="L53" s="94">
        <f>ROUND(INDEX('Product Catalog'!$I$7:$I$22,MATCH(G53,'Product Catalog'!$B$7:$B$22,0))*INDEX('Regional Markets'!$E$8:$E$15,MATCH(E53,'Regional Markets'!$B$8:$B$15,0)),IF(K53="JPY",0,2))</f>
        <v>35.88</v>
      </c>
      <c r="M53" s="79" t="n">
        <v>0.14</v>
      </c>
      <c r="N53" s="94">
        <f>J53*L53*(1-M53)</f>
        <v>17032.9536</v>
      </c>
      <c r="O53" s="78">
        <f>N53/INDEX('Regional Markets'!$E$8:$E$15,MATCH(E53,'Regional Markets'!$B$8:$B$15,0))</f>
        <v>18514.08</v>
      </c>
      <c r="P53" s="80" t="s">
        <v>227</v>
      </c>
      <c r="Q53" s="91" t="n">
        <v>46198</v>
      </c>
      <c r="R53" s="76" t="s">
        <v>275</v>
      </c>
    </row>
    <row r="54" ht="21.2" customHeight="true">
      <c r="B54" s="90" t="inlineStr">
        <is>
          <t>SO-26-1087</t>
        </is>
      </c>
      <c r="C54" s="91" t="n">
        <v>46167</v>
      </c>
      <c r="D54" s="76" t="inlineStr">
        <is>
          <t>Maison Vérane</t>
        </is>
      </c>
      <c r="E54" s="92" t="s">
        <v>58</v>
      </c>
      <c r="F54" s="92" t="s">
        <v>253</v>
      </c>
      <c r="G54" s="92" t="inlineStr">
        <is>
          <t>LL-DEC-501</t>
        </is>
      </c>
      <c r="H54" s="76" t="str">
        <f>IFERROR(INDEX('Product Catalog'!$C$7:$C$22,MATCH(G54,'Product Catalog'!$B$7:$B$22,0)),"")</f>
        <v>Lumi Recycled Glass Vase</v>
      </c>
      <c r="I54" s="92" t="str">
        <f>IFERROR(INDEX('Product Catalog'!$D$7:$D$22,MATCH(G54,'Product Catalog'!$B$7:$B$22,0)),"")</f>
        <v>Decor &amp; Rugs</v>
      </c>
      <c r="J54" s="93" t="n">
        <v>264</v>
      </c>
      <c r="K54" s="80" t="str">
        <f>IFERROR(INDEX('Regional Markets'!$D$8:$D$15,MATCH(E54,'Regional Markets'!$B$8:$B$15,0)),"")</f>
        <v>EUR</v>
      </c>
      <c r="L54" s="94">
        <f>ROUND(INDEX('Product Catalog'!$I$7:$I$22,MATCH(G54,'Product Catalog'!$B$7:$B$22,0))*INDEX('Regional Markets'!$E$8:$E$15,MATCH(E54,'Regional Markets'!$B$8:$B$15,0)),IF(K54="JPY",0,2))</f>
        <v>58.88</v>
      </c>
      <c r="M54" s="79" t="n">
        <v>0.05</v>
      </c>
      <c r="N54" s="94">
        <f>J54*L54*(1-M54)</f>
        <v>14767.104</v>
      </c>
      <c r="O54" s="78">
        <f>N54/INDEX('Regional Markets'!$E$8:$E$15,MATCH(E54,'Regional Markets'!$B$8:$B$15,0))</f>
        <v>16051.2</v>
      </c>
      <c r="P54" s="80" t="s">
        <v>227</v>
      </c>
      <c r="Q54" s="91" t="n">
        <v>46209</v>
      </c>
      <c r="R54" s="76" t="s">
        <v>269</v>
      </c>
    </row>
    <row r="55" ht="34.4" customHeight="true">
      <c r="B55" s="90" t="inlineStr">
        <is>
          <t>SO-26-1088</t>
        </is>
      </c>
      <c r="C55" s="91" t="n">
        <v>46176</v>
      </c>
      <c r="D55" s="76" t="inlineStr">
        <is>
          <t>Hotel Seeblick Gruppe</t>
        </is>
      </c>
      <c r="E55" s="92" t="s">
        <v>57</v>
      </c>
      <c r="F55" s="92" t="s">
        <v>245</v>
      </c>
      <c r="G55" s="92" t="inlineStr">
        <is>
          <t>LL-TXT-210</t>
        </is>
      </c>
      <c r="H55" s="76" t="str">
        <f>IFERROR(INDEX('Product Catalog'!$C$7:$C$22,MATCH(G55,'Product Catalog'!$B$7:$B$22,0)),"")</f>
        <v>Marlow Hand-Loomed Cushion Cover</v>
      </c>
      <c r="I55" s="92" t="str">
        <f>IFERROR(INDEX('Product Catalog'!$D$7:$D$22,MATCH(G55,'Product Catalog'!$B$7:$B$22,0)),"")</f>
        <v>Textiles</v>
      </c>
      <c r="J55" s="93" t="n">
        <v>346</v>
      </c>
      <c r="K55" s="80" t="str">
        <f>IFERROR(INDEX('Regional Markets'!$D$8:$D$15,MATCH(E55,'Regional Markets'!$B$8:$B$15,0)),"")</f>
        <v>EUR</v>
      </c>
      <c r="L55" s="94">
        <f>ROUND(INDEX('Product Catalog'!$I$7:$I$22,MATCH(G55,'Product Catalog'!$B$7:$B$22,0))*INDEX('Regional Markets'!$E$8:$E$15,MATCH(E55,'Regional Markets'!$B$8:$B$15,0)),IF(K55="JPY",0,2))</f>
        <v>35.88</v>
      </c>
      <c r="M55" s="79" t="n">
        <v>0.195</v>
      </c>
      <c r="N55" s="94">
        <f>J55*L55*(1-M55)</f>
        <v>9993.6564</v>
      </c>
      <c r="O55" s="78">
        <f>N55/INDEX('Regional Markets'!$E$8:$E$15,MATCH(E55,'Regional Markets'!$B$8:$B$15,0))</f>
        <v>10862.67</v>
      </c>
      <c r="P55" s="80" t="s">
        <v>10</v>
      </c>
      <c r="Q55" s="91" t="n">
        <v>46225</v>
      </c>
      <c r="R55" s="76" t="s">
        <v>278</v>
      </c>
    </row>
    <row r="56" ht="34.4" customHeight="true">
      <c r="B56" s="90" t="inlineStr">
        <is>
          <t>SO-26-1089</t>
        </is>
      </c>
      <c r="C56" s="91" t="n">
        <v>46178</v>
      </c>
      <c r="D56" s="76" t="inlineStr">
        <is>
          <t>Galeries Ombre</t>
        </is>
      </c>
      <c r="E56" s="92" t="s">
        <v>58</v>
      </c>
      <c r="F56" s="92" t="s">
        <v>247</v>
      </c>
      <c r="G56" s="92" t="inlineStr">
        <is>
          <t>LL-DEC-501</t>
        </is>
      </c>
      <c r="H56" s="76" t="str">
        <f>IFERROR(INDEX('Product Catalog'!$C$7:$C$22,MATCH(G56,'Product Catalog'!$B$7:$B$22,0)),"")</f>
        <v>Lumi Recycled Glass Vase</v>
      </c>
      <c r="I56" s="92" t="str">
        <f>IFERROR(INDEX('Product Catalog'!$D$7:$D$22,MATCH(G56,'Product Catalog'!$B$7:$B$22,0)),"")</f>
        <v>Decor &amp; Rugs</v>
      </c>
      <c r="J56" s="93" t="n">
        <v>576</v>
      </c>
      <c r="K56" s="80" t="str">
        <f>IFERROR(INDEX('Regional Markets'!$D$8:$D$15,MATCH(E56,'Regional Markets'!$B$8:$B$15,0)),"")</f>
        <v>EUR</v>
      </c>
      <c r="L56" s="94">
        <f>ROUND(INDEX('Product Catalog'!$I$7:$I$22,MATCH(G56,'Product Catalog'!$B$7:$B$22,0))*INDEX('Regional Markets'!$E$8:$E$15,MATCH(E56,'Regional Markets'!$B$8:$B$15,0)),IF(K56="JPY",0,2))</f>
        <v>58.88</v>
      </c>
      <c r="M56" s="79" t="n">
        <v>0.1</v>
      </c>
      <c r="N56" s="94">
        <f>J56*L56*(1-M56)</f>
        <v>30523.392</v>
      </c>
      <c r="O56" s="78">
        <f>N56/INDEX('Regional Markets'!$E$8:$E$15,MATCH(E56,'Regional Markets'!$B$8:$B$15,0))</f>
        <v>33177.6</v>
      </c>
      <c r="P56" s="80" t="s">
        <v>227</v>
      </c>
      <c r="Q56" s="91" t="n">
        <v>46202</v>
      </c>
      <c r="R56" s="76" t="s">
        <v>266</v>
      </c>
    </row>
    <row r="57" ht="47.6" customHeight="true">
      <c r="B57" s="90" t="inlineStr">
        <is>
          <t>SO-26-1090</t>
        </is>
      </c>
      <c r="C57" s="91" t="n">
        <v>46178</v>
      </c>
      <c r="D57" s="76" t="inlineStr">
        <is>
          <t>Hem &amp; Sjö Distribution AB</t>
        </is>
      </c>
      <c r="E57" s="92" t="s">
        <v>59</v>
      </c>
      <c r="F57" s="92" t="s">
        <v>260</v>
      </c>
      <c r="G57" s="92" t="inlineStr">
        <is>
          <t>LL-FUR-301</t>
        </is>
      </c>
      <c r="H57" s="76" t="str">
        <f>IFERROR(INDEX('Product Catalog'!$C$7:$C$22,MATCH(G57,'Product Catalog'!$B$7:$B$22,0)),"")</f>
        <v>Tove Solid Oak Dining Chair</v>
      </c>
      <c r="I57" s="92" t="str">
        <f>IFERROR(INDEX('Product Catalog'!$D$7:$D$22,MATCH(G57,'Product Catalog'!$B$7:$B$22,0)),"")</f>
        <v>Furniture</v>
      </c>
      <c r="J57" s="93" t="n">
        <v>140</v>
      </c>
      <c r="K57" s="80" t="str">
        <f>IFERROR(INDEX('Regional Markets'!$D$8:$D$15,MATCH(E57,'Regional Markets'!$B$8:$B$15,0)),"")</f>
        <v>SEK</v>
      </c>
      <c r="L57" s="94">
        <f>ROUND(INDEX('Product Catalog'!$I$7:$I$22,MATCH(G57,'Product Catalog'!$B$7:$B$22,0))*INDEX('Regional Markets'!$E$8:$E$15,MATCH(E57,'Regional Markets'!$B$8:$B$15,0)),IF(K57="JPY",0,2))</f>
        <v>2597</v>
      </c>
      <c r="M57" s="79" t="n">
        <v>0.135</v>
      </c>
      <c r="N57" s="94">
        <f>J57*L57*(1-M57)</f>
        <v>314496.7</v>
      </c>
      <c r="O57" s="78">
        <f>N57/INDEX('Regional Markets'!$E$8:$E$15,MATCH(E57,'Regional Markets'!$B$8:$B$15,0))</f>
        <v>29669.5</v>
      </c>
      <c r="P57" s="80" t="s">
        <v>227</v>
      </c>
      <c r="Q57" s="91" t="n">
        <v>46219</v>
      </c>
      <c r="R57" s="76" t="s">
        <v>261</v>
      </c>
    </row>
    <row r="58" ht="21.2" customHeight="true">
      <c r="B58" s="90" t="inlineStr">
        <is>
          <t>SO-26-1091</t>
        </is>
      </c>
      <c r="C58" s="91" t="n">
        <v>46181</v>
      </c>
      <c r="D58" s="76" t="inlineStr">
        <is>
          <t>Maison Vérane</t>
        </is>
      </c>
      <c r="E58" s="92" t="s">
        <v>58</v>
      </c>
      <c r="F58" s="92" t="s">
        <v>253</v>
      </c>
      <c r="G58" s="92" t="inlineStr">
        <is>
          <t>LL-KIT-406</t>
        </is>
      </c>
      <c r="H58" s="76" t="str">
        <f>IFERROR(INDEX('Product Catalog'!$C$7:$C$22,MATCH(G58,'Product Catalog'!$B$7:$B$22,0)),"")</f>
        <v>Aska Enamelled Cast Iron Casserole</v>
      </c>
      <c r="I58" s="92" t="str">
        <f>IFERROR(INDEX('Product Catalog'!$D$7:$D$22,MATCH(G58,'Product Catalog'!$B$7:$B$22,0)),"")</f>
        <v>Kitchen &amp; Dining</v>
      </c>
      <c r="J58" s="93" t="n">
        <v>60</v>
      </c>
      <c r="K58" s="80" t="str">
        <f>IFERROR(INDEX('Regional Markets'!$D$8:$D$15,MATCH(E58,'Regional Markets'!$B$8:$B$15,0)),"")</f>
        <v>EUR</v>
      </c>
      <c r="L58" s="94">
        <f>ROUND(INDEX('Product Catalog'!$I$7:$I$22,MATCH(G58,'Product Catalog'!$B$7:$B$22,0))*INDEX('Regional Markets'!$E$8:$E$15,MATCH(E58,'Regional Markets'!$B$8:$B$15,0)),IF(K58="JPY",0,2))</f>
        <v>193.2</v>
      </c>
      <c r="M58" s="79" t="n">
        <v>0.075</v>
      </c>
      <c r="N58" s="94">
        <f>J58*L58*(1-M58)</f>
        <v>10722.6</v>
      </c>
      <c r="O58" s="78">
        <f>N58/INDEX('Regional Markets'!$E$8:$E$15,MATCH(E58,'Regional Markets'!$B$8:$B$15,0))</f>
        <v>11655</v>
      </c>
      <c r="P58" s="80" t="s">
        <v>227</v>
      </c>
      <c r="Q58" s="91" t="n">
        <v>46216</v>
      </c>
      <c r="R58" s="76" t="s">
        <v>269</v>
      </c>
    </row>
    <row r="59" ht="34.4" customHeight="true">
      <c r="B59" s="90" t="inlineStr">
        <is>
          <t>SO-26-1092</t>
        </is>
      </c>
      <c r="C59" s="91" t="n">
        <v>46185</v>
      </c>
      <c r="D59" s="76" t="inlineStr">
        <is>
          <t>Nordlicht Interiors</t>
        </is>
      </c>
      <c r="E59" s="92" t="s">
        <v>57</v>
      </c>
      <c r="F59" s="92" t="s">
        <v>249</v>
      </c>
      <c r="G59" s="92" t="inlineStr">
        <is>
          <t>LL-FUR-316</t>
        </is>
      </c>
      <c r="H59" s="76" t="str">
        <f>IFERROR(INDEX('Product Catalog'!$C$7:$C$22,MATCH(G59,'Product Catalog'!$B$7:$B$22,0)),"")</f>
        <v>Liss Walnut Side Table</v>
      </c>
      <c r="I59" s="92" t="str">
        <f>IFERROR(INDEX('Product Catalog'!$D$7:$D$22,MATCH(G59,'Product Catalog'!$B$7:$B$22,0)),"")</f>
        <v>Furniture</v>
      </c>
      <c r="J59" s="93" t="n">
        <v>88</v>
      </c>
      <c r="K59" s="80" t="str">
        <f>IFERROR(INDEX('Regional Markets'!$D$8:$D$15,MATCH(E59,'Regional Markets'!$B$8:$B$15,0)),"")</f>
        <v>EUR</v>
      </c>
      <c r="L59" s="94">
        <f>ROUND(INDEX('Product Catalog'!$I$7:$I$22,MATCH(G59,'Product Catalog'!$B$7:$B$22,0))*INDEX('Regional Markets'!$E$8:$E$15,MATCH(E59,'Regional Markets'!$B$8:$B$15,0)),IF(K59="JPY",0,2))</f>
        <v>257.6</v>
      </c>
      <c r="M59" s="79" t="n">
        <v>0.01</v>
      </c>
      <c r="N59" s="94">
        <f>J59*L59*(1-M59)</f>
        <v>22442.112</v>
      </c>
      <c r="O59" s="78">
        <f>N59/INDEX('Regional Markets'!$E$8:$E$15,MATCH(E59,'Regional Markets'!$B$8:$B$15,0))</f>
        <v>24393.6</v>
      </c>
      <c r="P59" s="80" t="s">
        <v>227</v>
      </c>
      <c r="Q59" s="91" t="n">
        <v>46227</v>
      </c>
      <c r="R59" s="76" t="s">
        <v>279</v>
      </c>
    </row>
    <row r="60" ht="21.2" customHeight="true">
      <c r="B60" s="90" t="inlineStr">
        <is>
          <t>SO-26-1093</t>
        </is>
      </c>
      <c r="C60" s="91" t="n">
        <v>46185</v>
      </c>
      <c r="D60" s="76" t="inlineStr">
        <is>
          <t>Kurashi Select</t>
        </is>
      </c>
      <c r="E60" s="92" t="s">
        <v>60</v>
      </c>
      <c r="F60" s="92" t="s">
        <v>253</v>
      </c>
      <c r="G60" s="92" t="inlineStr">
        <is>
          <t>LL-FUR-316</t>
        </is>
      </c>
      <c r="H60" s="76" t="str">
        <f>IFERROR(INDEX('Product Catalog'!$C$7:$C$22,MATCH(G60,'Product Catalog'!$B$7:$B$22,0)),"")</f>
        <v>Liss Walnut Side Table</v>
      </c>
      <c r="I60" s="92" t="str">
        <f>IFERROR(INDEX('Product Catalog'!$D$7:$D$22,MATCH(G60,'Product Catalog'!$B$7:$B$22,0)),"")</f>
        <v>Furniture</v>
      </c>
      <c r="J60" s="93" t="n">
        <v>116</v>
      </c>
      <c r="K60" s="80" t="str">
        <f>IFERROR(INDEX('Regional Markets'!$D$8:$D$15,MATCH(E60,'Regional Markets'!$B$8:$B$15,0)),"")</f>
        <v>JPY</v>
      </c>
      <c r="L60" s="94">
        <f>ROUND(INDEX('Product Catalog'!$I$7:$I$22,MATCH(G60,'Product Catalog'!$B$7:$B$22,0))*INDEX('Regional Markets'!$E$8:$E$15,MATCH(E60,'Regional Markets'!$B$8:$B$15,0)),IF(K60="JPY",0,2))</f>
        <v>41440</v>
      </c>
      <c r="M60" s="79" t="n">
        <v>0.095</v>
      </c>
      <c r="N60" s="94">
        <f>J60*L60*(1-M60)</f>
        <v>4350371.2</v>
      </c>
      <c r="O60" s="78">
        <f>N60/INDEX('Regional Markets'!$E$8:$E$15,MATCH(E60,'Regional Markets'!$B$8:$B$15,0))</f>
        <v>29394.4</v>
      </c>
      <c r="P60" s="80" t="s">
        <v>227</v>
      </c>
      <c r="Q60" s="91" t="n">
        <v>46217</v>
      </c>
      <c r="R60" s="76" t="s">
        <v>275</v>
      </c>
    </row>
    <row r="61" ht="34.4" customHeight="true">
      <c r="B61" s="90" t="inlineStr">
        <is>
          <t>SO-26-1094</t>
        </is>
      </c>
      <c r="C61" s="91" t="n">
        <v>46185</v>
      </c>
      <c r="D61" s="76" t="inlineStr">
        <is>
          <t>Saltbush Home</t>
        </is>
      </c>
      <c r="E61" s="92" t="s">
        <v>62</v>
      </c>
      <c r="F61" s="92" t="s">
        <v>253</v>
      </c>
      <c r="G61" s="92" t="inlineStr">
        <is>
          <t>LL-TXT-205</t>
        </is>
      </c>
      <c r="H61" s="76" t="str">
        <f>IFERROR(INDEX('Product Catalog'!$C$7:$C$22,MATCH(G61,'Product Catalog'!$B$7:$B$22,0)),"")</f>
        <v>Fell Merino Wool Throw</v>
      </c>
      <c r="I61" s="92" t="str">
        <f>IFERROR(INDEX('Product Catalog'!$D$7:$D$22,MATCH(G61,'Product Catalog'!$B$7:$B$22,0)),"")</f>
        <v>Textiles</v>
      </c>
      <c r="J61" s="93" t="n">
        <v>264</v>
      </c>
      <c r="K61" s="80" t="str">
        <f>IFERROR(INDEX('Regional Markets'!$D$8:$D$15,MATCH(E61,'Regional Markets'!$B$8:$B$15,0)),"")</f>
        <v>AUD</v>
      </c>
      <c r="L61" s="94">
        <f>ROUND(INDEX('Product Catalog'!$I$7:$I$22,MATCH(G61,'Product Catalog'!$B$7:$B$22,0))*INDEX('Regional Markets'!$E$8:$E$15,MATCH(E61,'Regional Markets'!$B$8:$B$15,0)),IF(K61="JPY",0,2))</f>
        <v>196.08</v>
      </c>
      <c r="M61" s="79" t="n">
        <v>0.045</v>
      </c>
      <c r="N61" s="94">
        <f>J61*L61*(1-M61)</f>
        <v>49435.6896</v>
      </c>
      <c r="O61" s="78">
        <f>N61/INDEX('Regional Markets'!$E$8:$E$15,MATCH(E61,'Regional Markets'!$B$8:$B$15,0))</f>
        <v>32523.48</v>
      </c>
      <c r="P61" s="80" t="s">
        <v>227</v>
      </c>
      <c r="Q61" s="91" t="n">
        <v>46223</v>
      </c>
      <c r="R61" s="76" t="s">
        <v>254</v>
      </c>
    </row>
    <row r="62" ht="34.4" customHeight="true">
      <c r="B62" s="90" t="inlineStr">
        <is>
          <t>SO-26-1095</t>
        </is>
      </c>
      <c r="C62" s="91" t="n">
        <v>46195</v>
      </c>
      <c r="D62" s="76" t="inlineStr">
        <is>
          <t>Wohnhaus Berger GmbH</t>
        </is>
      </c>
      <c r="E62" s="92" t="s">
        <v>57</v>
      </c>
      <c r="F62" s="92" t="s">
        <v>253</v>
      </c>
      <c r="G62" s="92" t="inlineStr">
        <is>
          <t>LL-TXT-205</t>
        </is>
      </c>
      <c r="H62" s="76" t="str">
        <f>IFERROR(INDEX('Product Catalog'!$C$7:$C$22,MATCH(G62,'Product Catalog'!$B$7:$B$22,0)),"")</f>
        <v>Fell Merino Wool Throw</v>
      </c>
      <c r="I62" s="92" t="str">
        <f>IFERROR(INDEX('Product Catalog'!$D$7:$D$22,MATCH(G62,'Product Catalog'!$B$7:$B$22,0)),"")</f>
        <v>Textiles</v>
      </c>
      <c r="J62" s="93" t="n">
        <v>288</v>
      </c>
      <c r="K62" s="80" t="str">
        <f>IFERROR(INDEX('Regional Markets'!$D$8:$D$15,MATCH(E62,'Regional Markets'!$B$8:$B$15,0)),"")</f>
        <v>EUR</v>
      </c>
      <c r="L62" s="94">
        <f>ROUND(INDEX('Product Catalog'!$I$7:$I$22,MATCH(G62,'Product Catalog'!$B$7:$B$22,0))*INDEX('Regional Markets'!$E$8:$E$15,MATCH(E62,'Regional Markets'!$B$8:$B$15,0)),IF(K62="JPY",0,2))</f>
        <v>118.68</v>
      </c>
      <c r="M62" s="79" t="n">
        <v>0.075</v>
      </c>
      <c r="N62" s="94">
        <f>J62*L62*(1-M62)</f>
        <v>31616.352</v>
      </c>
      <c r="O62" s="78">
        <f>N62/INDEX('Regional Markets'!$E$8:$E$15,MATCH(E62,'Regional Markets'!$B$8:$B$15,0))</f>
        <v>34365.6</v>
      </c>
      <c r="P62" s="80" t="s">
        <v>227</v>
      </c>
      <c r="Q62" s="91" t="n">
        <v>46237</v>
      </c>
      <c r="R62" s="76" t="s">
        <v>268</v>
      </c>
    </row>
    <row r="63" ht="34.4" customHeight="true">
      <c r="B63" s="90" t="inlineStr">
        <is>
          <t>SO-26-1096</t>
        </is>
      </c>
      <c r="C63" s="91" t="n">
        <v>46196</v>
      </c>
      <c r="D63" s="76" t="inlineStr">
        <is>
          <t>Harbor &amp; Pine Home</t>
        </is>
      </c>
      <c r="E63" s="92" t="s">
        <v>52</v>
      </c>
      <c r="F63" s="92" t="s">
        <v>253</v>
      </c>
      <c r="G63" s="92" t="inlineStr">
        <is>
          <t>LL-KIT-401</t>
        </is>
      </c>
      <c r="H63" s="76" t="str">
        <f>IFERROR(INDEX('Product Catalog'!$C$7:$C$22,MATCH(G63,'Product Catalog'!$B$7:$B$22,0)),"")</f>
        <v>Hollis Stoneware Dinner Set</v>
      </c>
      <c r="I63" s="92" t="str">
        <f>IFERROR(INDEX('Product Catalog'!$D$7:$D$22,MATCH(G63,'Product Catalog'!$B$7:$B$22,0)),"")</f>
        <v>Kitchen &amp; Dining</v>
      </c>
      <c r="J63" s="93" t="n">
        <v>44</v>
      </c>
      <c r="K63" s="80" t="str">
        <f>IFERROR(INDEX('Regional Markets'!$D$8:$D$15,MATCH(E63,'Regional Markets'!$B$8:$B$15,0)),"")</f>
        <v>USD</v>
      </c>
      <c r="L63" s="94">
        <f>ROUND(INDEX('Product Catalog'!$I$7:$I$22,MATCH(G63,'Product Catalog'!$B$7:$B$22,0))*INDEX('Regional Markets'!$E$8:$E$15,MATCH(E63,'Regional Markets'!$B$8:$B$15,0)),IF(K63="JPY",0,2))</f>
        <v>165</v>
      </c>
      <c r="M63" s="79" t="n">
        <v>0.09</v>
      </c>
      <c r="N63" s="94">
        <f>J63*L63*(1-M63)</f>
        <v>6606.6</v>
      </c>
      <c r="O63" s="78">
        <f>N63/INDEX('Regional Markets'!$E$8:$E$15,MATCH(E63,'Regional Markets'!$B$8:$B$15,0))</f>
        <v>6606.6</v>
      </c>
      <c r="P63" s="80" t="s">
        <v>227</v>
      </c>
      <c r="Q63" s="91" t="n">
        <v>46237</v>
      </c>
      <c r="R63" s="76" t="s">
        <v>256</v>
      </c>
    </row>
    <row r="64" ht="34.4" customHeight="true">
      <c r="B64" s="90" t="inlineStr">
        <is>
          <t>SO-26-1097</t>
        </is>
      </c>
      <c r="C64" s="91" t="n">
        <v>46197</v>
      </c>
      <c r="D64" s="76" t="inlineStr">
        <is>
          <t>Nordlicht Interiors</t>
        </is>
      </c>
      <c r="E64" s="92" t="s">
        <v>57</v>
      </c>
      <c r="F64" s="92" t="s">
        <v>249</v>
      </c>
      <c r="G64" s="92" t="inlineStr">
        <is>
          <t>LL-FUR-316</t>
        </is>
      </c>
      <c r="H64" s="76" t="str">
        <f>IFERROR(INDEX('Product Catalog'!$C$7:$C$22,MATCH(G64,'Product Catalog'!$B$7:$B$22,0)),"")</f>
        <v>Liss Walnut Side Table</v>
      </c>
      <c r="I64" s="92" t="str">
        <f>IFERROR(INDEX('Product Catalog'!$D$7:$D$22,MATCH(G64,'Product Catalog'!$B$7:$B$22,0)),"")</f>
        <v>Furniture</v>
      </c>
      <c r="J64" s="93" t="n">
        <v>92</v>
      </c>
      <c r="K64" s="80" t="str">
        <f>IFERROR(INDEX('Regional Markets'!$D$8:$D$15,MATCH(E64,'Regional Markets'!$B$8:$B$15,0)),"")</f>
        <v>EUR</v>
      </c>
      <c r="L64" s="94">
        <f>ROUND(INDEX('Product Catalog'!$I$7:$I$22,MATCH(G64,'Product Catalog'!$B$7:$B$22,0))*INDEX('Regional Markets'!$E$8:$E$15,MATCH(E64,'Regional Markets'!$B$8:$B$15,0)),IF(K64="JPY",0,2))</f>
        <v>257.6</v>
      </c>
      <c r="M64" s="79" t="n">
        <v>0.005</v>
      </c>
      <c r="N64" s="94">
        <f>J64*L64*(1-M64)</f>
        <v>23580.704</v>
      </c>
      <c r="O64" s="78">
        <f>N64/INDEX('Regional Markets'!$E$8:$E$15,MATCH(E64,'Regional Markets'!$B$8:$B$15,0))</f>
        <v>25631.2</v>
      </c>
      <c r="P64" s="80" t="s">
        <v>227</v>
      </c>
      <c r="Q64" s="91" t="n">
        <v>46238</v>
      </c>
      <c r="R64" s="76" t="s">
        <v>252</v>
      </c>
    </row>
    <row r="65" ht="34.4" customHeight="true">
      <c r="B65" s="90" t="inlineStr">
        <is>
          <t>SO-26-1098</t>
        </is>
      </c>
      <c r="C65" s="91" t="n">
        <v>46199</v>
      </c>
      <c r="D65" s="76" t="inlineStr">
        <is>
          <t>Coastal Edit Hospitality</t>
        </is>
      </c>
      <c r="E65" s="92" t="s">
        <v>62</v>
      </c>
      <c r="F65" s="92" t="s">
        <v>245</v>
      </c>
      <c r="G65" s="92" t="inlineStr">
        <is>
          <t>LL-DEC-507</t>
        </is>
      </c>
      <c r="H65" s="76" t="str">
        <f>IFERROR(INDEX('Product Catalog'!$C$7:$C$22,MATCH(G65,'Product Catalog'!$B$7:$B$22,0)),"")</f>
        <v>Tarn Wool Area Rug</v>
      </c>
      <c r="I65" s="92" t="str">
        <f>IFERROR(INDEX('Product Catalog'!$D$7:$D$22,MATCH(G65,'Product Catalog'!$B$7:$B$22,0)),"")</f>
        <v>Decor &amp; Rugs</v>
      </c>
      <c r="J65" s="93" t="n">
        <v>52</v>
      </c>
      <c r="K65" s="80" t="str">
        <f>IFERROR(INDEX('Regional Markets'!$D$8:$D$15,MATCH(E65,'Regional Markets'!$B$8:$B$15,0)),"")</f>
        <v>AUD</v>
      </c>
      <c r="L65" s="94">
        <f>ROUND(INDEX('Product Catalog'!$I$7:$I$22,MATCH(G65,'Product Catalog'!$B$7:$B$22,0))*INDEX('Regional Markets'!$E$8:$E$15,MATCH(E65,'Regional Markets'!$B$8:$B$15,0)),IF(K65="JPY",0,2))</f>
        <v>820.8</v>
      </c>
      <c r="M65" s="79" t="n">
        <v>0.125</v>
      </c>
      <c r="N65" s="94">
        <f>J65*L65*(1-M65)</f>
        <v>37346.4</v>
      </c>
      <c r="O65" s="78">
        <f>N65/INDEX('Regional Markets'!$E$8:$E$15,MATCH(E65,'Regional Markets'!$B$8:$B$15,0))</f>
        <v>24570</v>
      </c>
      <c r="P65" s="80" t="s">
        <v>227</v>
      </c>
      <c r="Q65" s="91" t="n">
        <v>46237</v>
      </c>
      <c r="R65" s="76" t="s">
        <v>263</v>
      </c>
    </row>
    <row r="66" ht="34.4" customHeight="true">
      <c r="B66" s="90" t="inlineStr">
        <is>
          <t>SO-26-1099</t>
        </is>
      </c>
      <c r="C66" s="91" t="n">
        <v>46209</v>
      </c>
      <c r="D66" s="76" t="inlineStr">
        <is>
          <t>Ashcombe &amp; Reed</t>
        </is>
      </c>
      <c r="E66" s="92" t="s">
        <v>55</v>
      </c>
      <c r="F66" s="92" t="s">
        <v>247</v>
      </c>
      <c r="G66" s="92" t="inlineStr">
        <is>
          <t>LL-KIT-406</t>
        </is>
      </c>
      <c r="H66" s="76" t="str">
        <f>IFERROR(INDEX('Product Catalog'!$C$7:$C$22,MATCH(G66,'Product Catalog'!$B$7:$B$22,0)),"")</f>
        <v>Aska Enamelled Cast Iron Casserole</v>
      </c>
      <c r="I66" s="92" t="str">
        <f>IFERROR(INDEX('Product Catalog'!$D$7:$D$22,MATCH(G66,'Product Catalog'!$B$7:$B$22,0)),"")</f>
        <v>Kitchen &amp; Dining</v>
      </c>
      <c r="J66" s="93" t="n">
        <v>92</v>
      </c>
      <c r="K66" s="80" t="str">
        <f>IFERROR(INDEX('Regional Markets'!$D$8:$D$15,MATCH(E66,'Regional Markets'!$B$8:$B$15,0)),"")</f>
        <v>GBP</v>
      </c>
      <c r="L66" s="94">
        <f>ROUND(INDEX('Product Catalog'!$I$7:$I$22,MATCH(G66,'Product Catalog'!$B$7:$B$22,0))*INDEX('Regional Markets'!$E$8:$E$15,MATCH(E66,'Regional Markets'!$B$8:$B$15,0)),IF(K66="JPY",0,2))</f>
        <v>163.8</v>
      </c>
      <c r="M66" s="79" t="n">
        <v>0.11</v>
      </c>
      <c r="N66" s="94">
        <f>J66*L66*(1-M66)</f>
        <v>13411.944</v>
      </c>
      <c r="O66" s="78">
        <f>N66/INDEX('Regional Markets'!$E$8:$E$15,MATCH(E66,'Regional Markets'!$B$8:$B$15,0))</f>
        <v>17194.8</v>
      </c>
      <c r="P66" s="80" t="s">
        <v>227</v>
      </c>
      <c r="Q66" s="91" t="n">
        <v>46251</v>
      </c>
      <c r="R66" s="76" t="s">
        <v>280</v>
      </c>
    </row>
    <row r="67" ht="47.6" customHeight="true">
      <c r="B67" s="90" t="inlineStr">
        <is>
          <t>SO-26-1100</t>
        </is>
      </c>
      <c r="C67" s="91" t="n">
        <v>46209</v>
      </c>
      <c r="D67" s="76" t="s">
        <v>244</v>
      </c>
      <c r="E67" s="92" t="s">
        <v>52</v>
      </c>
      <c r="F67" s="92" t="s">
        <v>245</v>
      </c>
      <c r="G67" s="92" t="inlineStr">
        <is>
          <t>LL-FUR-309</t>
        </is>
      </c>
      <c r="H67" s="76" t="str">
        <f>IFERROR(INDEX('Product Catalog'!$C$7:$C$22,MATCH(G67,'Product Catalog'!$B$7:$B$22,0)),"")</f>
        <v>Otto Rattan Lounge Chair</v>
      </c>
      <c r="I67" s="92" t="str">
        <f>IFERROR(INDEX('Product Catalog'!$D$7:$D$22,MATCH(G67,'Product Catalog'!$B$7:$B$22,0)),"")</f>
        <v>Furniture</v>
      </c>
      <c r="J67" s="93" t="n">
        <v>88</v>
      </c>
      <c r="K67" s="80" t="str">
        <f>IFERROR(INDEX('Regional Markets'!$D$8:$D$15,MATCH(E67,'Regional Markets'!$B$8:$B$15,0)),"")</f>
        <v>USD</v>
      </c>
      <c r="L67" s="94">
        <f>ROUND(INDEX('Product Catalog'!$I$7:$I$22,MATCH(G67,'Product Catalog'!$B$7:$B$22,0))*INDEX('Regional Markets'!$E$8:$E$15,MATCH(E67,'Regional Markets'!$B$8:$B$15,0)),IF(K67="JPY",0,2))</f>
        <v>690</v>
      </c>
      <c r="M67" s="79" t="n">
        <v>0.15</v>
      </c>
      <c r="N67" s="94">
        <f>J67*L67*(1-M67)</f>
        <v>51612</v>
      </c>
      <c r="O67" s="78">
        <f>N67/INDEX('Regional Markets'!$E$8:$E$15,MATCH(E67,'Regional Markets'!$B$8:$B$15,0))</f>
        <v>51612</v>
      </c>
      <c r="P67" s="80" t="s">
        <v>227</v>
      </c>
      <c r="Q67" s="91" t="n">
        <v>46265</v>
      </c>
      <c r="R67" s="76" t="s">
        <v>271</v>
      </c>
    </row>
    <row r="68" ht="34.4" customHeight="true">
      <c r="B68" s="90" t="inlineStr">
        <is>
          <t>SO-26-1101</t>
        </is>
      </c>
      <c r="C68" s="91" t="n">
        <v>46210</v>
      </c>
      <c r="D68" s="76" t="s">
        <v>244</v>
      </c>
      <c r="E68" s="92" t="s">
        <v>52</v>
      </c>
      <c r="F68" s="92" t="s">
        <v>245</v>
      </c>
      <c r="G68" s="92" t="inlineStr">
        <is>
          <t>LL-TXT-214</t>
        </is>
      </c>
      <c r="H68" s="76" t="str">
        <f>IFERROR(INDEX('Product Catalog'!$C$7:$C$22,MATCH(G68,'Product Catalog'!$B$7:$B$22,0)),"")</f>
        <v>Kesa Organic Cotton Towel Set</v>
      </c>
      <c r="I68" s="92" t="str">
        <f>IFERROR(INDEX('Product Catalog'!$D$7:$D$22,MATCH(G68,'Product Catalog'!$B$7:$B$22,0)),"")</f>
        <v>Textiles</v>
      </c>
      <c r="J68" s="93" t="n">
        <v>250</v>
      </c>
      <c r="K68" s="80" t="str">
        <f>IFERROR(INDEX('Regional Markets'!$D$8:$D$15,MATCH(E68,'Regional Markets'!$B$8:$B$15,0)),"")</f>
        <v>USD</v>
      </c>
      <c r="L68" s="94">
        <f>ROUND(INDEX('Product Catalog'!$I$7:$I$22,MATCH(G68,'Product Catalog'!$B$7:$B$22,0))*INDEX('Regional Markets'!$E$8:$E$15,MATCH(E68,'Regional Markets'!$B$8:$B$15,0)),IF(K68="JPY",0,2))</f>
        <v>79</v>
      </c>
      <c r="M68" s="79" t="n">
        <v>0.13</v>
      </c>
      <c r="N68" s="94">
        <f>J68*L68*(1-M68)</f>
        <v>17182.5</v>
      </c>
      <c r="O68" s="78">
        <f>N68/INDEX('Regional Markets'!$E$8:$E$15,MATCH(E68,'Regional Markets'!$B$8:$B$15,0))</f>
        <v>17182.5</v>
      </c>
      <c r="P68" s="80" t="s">
        <v>10</v>
      </c>
      <c r="Q68" s="91" t="n">
        <v>46260</v>
      </c>
      <c r="R68" s="76" t="s">
        <v>246</v>
      </c>
    </row>
    <row r="69" ht="47.6" customHeight="true">
      <c r="B69" s="90" t="inlineStr">
        <is>
          <t>SO-26-1102</t>
        </is>
      </c>
      <c r="C69" s="91" t="n">
        <v>46210</v>
      </c>
      <c r="D69" s="76" t="s">
        <v>244</v>
      </c>
      <c r="E69" s="92" t="s">
        <v>52</v>
      </c>
      <c r="F69" s="92" t="s">
        <v>245</v>
      </c>
      <c r="G69" s="92" t="inlineStr">
        <is>
          <t>LL-TXT-214</t>
        </is>
      </c>
      <c r="H69" s="76" t="str">
        <f>IFERROR(INDEX('Product Catalog'!$C$7:$C$22,MATCH(G69,'Product Catalog'!$B$7:$B$22,0)),"")</f>
        <v>Kesa Organic Cotton Towel Set</v>
      </c>
      <c r="I69" s="92" t="str">
        <f>IFERROR(INDEX('Product Catalog'!$D$7:$D$22,MATCH(G69,'Product Catalog'!$B$7:$B$22,0)),"")</f>
        <v>Textiles</v>
      </c>
      <c r="J69" s="93" t="n">
        <v>230</v>
      </c>
      <c r="K69" s="80" t="str">
        <f>IFERROR(INDEX('Regional Markets'!$D$8:$D$15,MATCH(E69,'Regional Markets'!$B$8:$B$15,0)),"")</f>
        <v>USD</v>
      </c>
      <c r="L69" s="94">
        <f>ROUND(INDEX('Product Catalog'!$I$7:$I$22,MATCH(G69,'Product Catalog'!$B$7:$B$22,0))*INDEX('Regional Markets'!$E$8:$E$15,MATCH(E69,'Regional Markets'!$B$8:$B$15,0)),IF(K69="JPY",0,2))</f>
        <v>79</v>
      </c>
      <c r="M69" s="79" t="n">
        <v>0.16</v>
      </c>
      <c r="N69" s="94">
        <f>J69*L69*(1-M69)</f>
        <v>15262.8</v>
      </c>
      <c r="O69" s="78">
        <f>N69/INDEX('Regional Markets'!$E$8:$E$15,MATCH(E69,'Regional Markets'!$B$8:$B$15,0))</f>
        <v>15262.8</v>
      </c>
      <c r="P69" s="80" t="s">
        <v>227</v>
      </c>
      <c r="Q69" s="91" t="n">
        <v>46259</v>
      </c>
      <c r="R69" s="76" t="s">
        <v>271</v>
      </c>
    </row>
    <row r="70" ht="34.4" customHeight="true">
      <c r="B70" s="90" t="inlineStr">
        <is>
          <t>SO-26-1103</t>
        </is>
      </c>
      <c r="C70" s="91" t="n">
        <v>46212</v>
      </c>
      <c r="D70" s="76" t="inlineStr">
        <is>
          <t>Northbay Home Supply</t>
        </is>
      </c>
      <c r="E70" s="92" t="s">
        <v>54</v>
      </c>
      <c r="F70" s="92" t="s">
        <v>247</v>
      </c>
      <c r="G70" s="92" t="inlineStr">
        <is>
          <t>LL-KIT-406</t>
        </is>
      </c>
      <c r="H70" s="76" t="str">
        <f>IFERROR(INDEX('Product Catalog'!$C$7:$C$22,MATCH(G70,'Product Catalog'!$B$7:$B$22,0)),"")</f>
        <v>Aska Enamelled Cast Iron Casserole</v>
      </c>
      <c r="I70" s="92" t="str">
        <f>IFERROR(INDEX('Product Catalog'!$D$7:$D$22,MATCH(G70,'Product Catalog'!$B$7:$B$22,0)),"")</f>
        <v>Kitchen &amp; Dining</v>
      </c>
      <c r="J70" s="93" t="n">
        <v>76</v>
      </c>
      <c r="K70" s="80" t="str">
        <f>IFERROR(INDEX('Regional Markets'!$D$8:$D$15,MATCH(E70,'Regional Markets'!$B$8:$B$15,0)),"")</f>
        <v>CAD</v>
      </c>
      <c r="L70" s="94">
        <f>ROUND(INDEX('Product Catalog'!$I$7:$I$22,MATCH(G70,'Product Catalog'!$B$7:$B$22,0))*INDEX('Regional Markets'!$E$8:$E$15,MATCH(E70,'Regional Markets'!$B$8:$B$15,0)),IF(K70="JPY",0,2))</f>
        <v>287.7</v>
      </c>
      <c r="M70" s="79" t="n">
        <v>0.125</v>
      </c>
      <c r="N70" s="94">
        <f>J70*L70*(1-M70)</f>
        <v>19132.05</v>
      </c>
      <c r="O70" s="78">
        <f>N70/INDEX('Regional Markets'!$E$8:$E$15,MATCH(E70,'Regional Markets'!$B$8:$B$15,0))</f>
        <v>13965</v>
      </c>
      <c r="P70" s="80" t="s">
        <v>227</v>
      </c>
      <c r="Q70" s="91" t="n">
        <v>46239</v>
      </c>
      <c r="R70" s="76" t="s">
        <v>267</v>
      </c>
    </row>
    <row r="71" ht="34.4" customHeight="true">
      <c r="B71" s="90" t="inlineStr">
        <is>
          <t>SO-26-1104</t>
        </is>
      </c>
      <c r="C71" s="91" t="n">
        <v>46212</v>
      </c>
      <c r="D71" s="76" t="inlineStr">
        <is>
          <t>Coastal Edit Hospitality</t>
        </is>
      </c>
      <c r="E71" s="92" t="s">
        <v>62</v>
      </c>
      <c r="F71" s="92" t="s">
        <v>245</v>
      </c>
      <c r="G71" s="92" t="inlineStr">
        <is>
          <t>LL-FUR-309</t>
        </is>
      </c>
      <c r="H71" s="76" t="str">
        <f>IFERROR(INDEX('Product Catalog'!$C$7:$C$22,MATCH(G71,'Product Catalog'!$B$7:$B$22,0)),"")</f>
        <v>Otto Rattan Lounge Chair</v>
      </c>
      <c r="I71" s="92" t="str">
        <f>IFERROR(INDEX('Product Catalog'!$D$7:$D$22,MATCH(G71,'Product Catalog'!$B$7:$B$22,0)),"")</f>
        <v>Furniture</v>
      </c>
      <c r="J71" s="93" t="n">
        <v>96</v>
      </c>
      <c r="K71" s="80" t="str">
        <f>IFERROR(INDEX('Regional Markets'!$D$8:$D$15,MATCH(E71,'Regional Markets'!$B$8:$B$15,0)),"")</f>
        <v>AUD</v>
      </c>
      <c r="L71" s="94">
        <f>ROUND(INDEX('Product Catalog'!$I$7:$I$22,MATCH(G71,'Product Catalog'!$B$7:$B$22,0))*INDEX('Regional Markets'!$E$8:$E$15,MATCH(E71,'Regional Markets'!$B$8:$B$15,0)),IF(K71="JPY",0,2))</f>
        <v>1048.8</v>
      </c>
      <c r="M71" s="79" t="n">
        <v>0.145</v>
      </c>
      <c r="N71" s="94">
        <f>J71*L71*(1-M71)</f>
        <v>86085.504</v>
      </c>
      <c r="O71" s="78">
        <f>N71/INDEX('Regional Markets'!$E$8:$E$15,MATCH(E71,'Regional Markets'!$B$8:$B$15,0))</f>
        <v>56635.2</v>
      </c>
      <c r="P71" s="80" t="s">
        <v>227</v>
      </c>
      <c r="Q71" s="91" t="n">
        <v>46244</v>
      </c>
      <c r="R71" s="76" t="s">
        <v>262</v>
      </c>
    </row>
    <row r="72" ht="21.2" customHeight="true">
      <c r="B72" s="90" t="inlineStr">
        <is>
          <t>SO-26-1105</t>
        </is>
      </c>
      <c r="C72" s="91" t="n">
        <v>46213</v>
      </c>
      <c r="D72" s="76" t="inlineStr">
        <is>
          <t>Kew Lane Living</t>
        </is>
      </c>
      <c r="E72" s="92" t="s">
        <v>55</v>
      </c>
      <c r="F72" s="92" t="s">
        <v>253</v>
      </c>
      <c r="G72" s="92" t="inlineStr">
        <is>
          <t>LL-DEC-507</t>
        </is>
      </c>
      <c r="H72" s="76" t="str">
        <f>IFERROR(INDEX('Product Catalog'!$C$7:$C$22,MATCH(G72,'Product Catalog'!$B$7:$B$22,0)),"")</f>
        <v>Tarn Wool Area Rug</v>
      </c>
      <c r="I72" s="92" t="str">
        <f>IFERROR(INDEX('Product Catalog'!$D$7:$D$22,MATCH(G72,'Product Catalog'!$B$7:$B$22,0)),"")</f>
        <v>Decor &amp; Rugs</v>
      </c>
      <c r="J72" s="93" t="n">
        <v>52</v>
      </c>
      <c r="K72" s="80" t="str">
        <f>IFERROR(INDEX('Regional Markets'!$D$8:$D$15,MATCH(E72,'Regional Markets'!$B$8:$B$15,0)),"")</f>
        <v>GBP</v>
      </c>
      <c r="L72" s="94">
        <f>ROUND(INDEX('Product Catalog'!$I$7:$I$22,MATCH(G72,'Product Catalog'!$B$7:$B$22,0))*INDEX('Regional Markets'!$E$8:$E$15,MATCH(E72,'Regional Markets'!$B$8:$B$15,0)),IF(K72="JPY",0,2))</f>
        <v>421.2</v>
      </c>
      <c r="M72" s="79" t="n">
        <v>0.07000000000000001</v>
      </c>
      <c r="N72" s="94">
        <f>J72*L72*(1-M72)</f>
        <v>20369.232</v>
      </c>
      <c r="O72" s="78">
        <f>N72/INDEX('Regional Markets'!$E$8:$E$15,MATCH(E72,'Regional Markets'!$B$8:$B$15,0))</f>
        <v>26114.4</v>
      </c>
      <c r="P72" s="80" t="s">
        <v>227</v>
      </c>
      <c r="Q72" s="91" t="n">
        <v>46239</v>
      </c>
      <c r="R72" s="76" t="s">
        <v>275</v>
      </c>
    </row>
    <row r="73" ht="47.6" customHeight="true">
      <c r="B73" s="90" t="inlineStr">
        <is>
          <t>SO-26-1106</t>
        </is>
      </c>
      <c r="C73" s="91" t="n">
        <v>46217</v>
      </c>
      <c r="D73" s="76" t="inlineStr">
        <is>
          <t>Hem &amp; Sjö Distribution AB</t>
        </is>
      </c>
      <c r="E73" s="92" t="s">
        <v>59</v>
      </c>
      <c r="F73" s="92" t="s">
        <v>260</v>
      </c>
      <c r="G73" s="92" t="inlineStr">
        <is>
          <t>LL-KIT-406</t>
        </is>
      </c>
      <c r="H73" s="76" t="str">
        <f>IFERROR(INDEX('Product Catalog'!$C$7:$C$22,MATCH(G73,'Product Catalog'!$B$7:$B$22,0)),"")</f>
        <v>Aska Enamelled Cast Iron Casserole</v>
      </c>
      <c r="I73" s="92" t="str">
        <f>IFERROR(INDEX('Product Catalog'!$D$7:$D$22,MATCH(G73,'Product Catalog'!$B$7:$B$22,0)),"")</f>
        <v>Kitchen &amp; Dining</v>
      </c>
      <c r="J73" s="93" t="n">
        <v>76</v>
      </c>
      <c r="K73" s="80" t="str">
        <f>IFERROR(INDEX('Regional Markets'!$D$8:$D$15,MATCH(E73,'Regional Markets'!$B$8:$B$15,0)),"")</f>
        <v>SEK</v>
      </c>
      <c r="L73" s="94">
        <f>ROUND(INDEX('Product Catalog'!$I$7:$I$22,MATCH(G73,'Product Catalog'!$B$7:$B$22,0))*INDEX('Regional Markets'!$E$8:$E$15,MATCH(E73,'Regional Markets'!$B$8:$B$15,0)),IF(K73="JPY",0,2))</f>
        <v>2226</v>
      </c>
      <c r="M73" s="79" t="n">
        <v>0.15</v>
      </c>
      <c r="N73" s="94">
        <f>J73*L73*(1-M73)</f>
        <v>143799.6</v>
      </c>
      <c r="O73" s="78">
        <f>N73/INDEX('Regional Markets'!$E$8:$E$15,MATCH(E73,'Regional Markets'!$B$8:$B$15,0))</f>
        <v>13566</v>
      </c>
      <c r="P73" s="80" t="s">
        <v>227</v>
      </c>
      <c r="Q73" s="91" t="n">
        <v>46246</v>
      </c>
      <c r="R73" s="76" t="s">
        <v>261</v>
      </c>
    </row>
    <row r="74" ht="34.4" customHeight="true">
      <c r="B74" s="90" t="inlineStr">
        <is>
          <t>SO-26-1107</t>
        </is>
      </c>
      <c r="C74" s="91" t="n">
        <v>46225</v>
      </c>
      <c r="D74" s="76" t="inlineStr">
        <is>
          <t>Westfield Living Co.</t>
        </is>
      </c>
      <c r="E74" s="92" t="s">
        <v>52</v>
      </c>
      <c r="F74" s="92" t="s">
        <v>247</v>
      </c>
      <c r="G74" s="92" t="inlineStr">
        <is>
          <t>LL-DEC-507</t>
        </is>
      </c>
      <c r="H74" s="76" t="str">
        <f>IFERROR(INDEX('Product Catalog'!$C$7:$C$22,MATCH(G74,'Product Catalog'!$B$7:$B$22,0)),"")</f>
        <v>Tarn Wool Area Rug</v>
      </c>
      <c r="I74" s="92" t="str">
        <f>IFERROR(INDEX('Product Catalog'!$D$7:$D$22,MATCH(G74,'Product Catalog'!$B$7:$B$22,0)),"")</f>
        <v>Decor &amp; Rugs</v>
      </c>
      <c r="J74" s="93" t="n">
        <v>28</v>
      </c>
      <c r="K74" s="80" t="str">
        <f>IFERROR(INDEX('Regional Markets'!$D$8:$D$15,MATCH(E74,'Regional Markets'!$B$8:$B$15,0)),"")</f>
        <v>USD</v>
      </c>
      <c r="L74" s="94">
        <f>ROUND(INDEX('Product Catalog'!$I$7:$I$22,MATCH(G74,'Product Catalog'!$B$7:$B$22,0))*INDEX('Regional Markets'!$E$8:$E$15,MATCH(E74,'Regional Markets'!$B$8:$B$15,0)),IF(K74="JPY",0,2))</f>
        <v>540</v>
      </c>
      <c r="M74" s="79" t="n">
        <v>0.11</v>
      </c>
      <c r="N74" s="94">
        <f>J74*L74*(1-M74)</f>
        <v>13456.8</v>
      </c>
      <c r="O74" s="78">
        <f>N74/INDEX('Regional Markets'!$E$8:$E$15,MATCH(E74,'Regional Markets'!$B$8:$B$15,0))</f>
        <v>13456.8</v>
      </c>
      <c r="P74" s="80" t="s">
        <v>227</v>
      </c>
      <c r="Q74" s="91" t="n">
        <v>46267</v>
      </c>
      <c r="R74" s="76" t="s">
        <v>257</v>
      </c>
    </row>
    <row r="75" ht="34.4" customHeight="true">
      <c r="B75" s="90" t="inlineStr">
        <is>
          <t>SO-26-1108</t>
        </is>
      </c>
      <c r="C75" s="91" t="n">
        <v>46230</v>
      </c>
      <c r="D75" s="76" t="inlineStr">
        <is>
          <t>Nestwell Online</t>
        </is>
      </c>
      <c r="E75" s="92" t="s">
        <v>52</v>
      </c>
      <c r="F75" s="92" t="s">
        <v>249</v>
      </c>
      <c r="G75" s="92" t="inlineStr">
        <is>
          <t>LL-LGT-104</t>
        </is>
      </c>
      <c r="H75" s="76" t="str">
        <f>IFERROR(INDEX('Product Catalog'!$C$7:$C$22,MATCH(G75,'Product Catalog'!$B$7:$B$22,0)),"")</f>
        <v>Sora Ceramic Table Lamp</v>
      </c>
      <c r="I75" s="92" t="str">
        <f>IFERROR(INDEX('Product Catalog'!$D$7:$D$22,MATCH(G75,'Product Catalog'!$B$7:$B$22,0)),"")</f>
        <v>Lighting</v>
      </c>
      <c r="J75" s="93" t="n">
        <v>156</v>
      </c>
      <c r="K75" s="80" t="str">
        <f>IFERROR(INDEX('Regional Markets'!$D$8:$D$15,MATCH(E75,'Regional Markets'!$B$8:$B$15,0)),"")</f>
        <v>USD</v>
      </c>
      <c r="L75" s="94">
        <f>ROUND(INDEX('Product Catalog'!$I$7:$I$22,MATCH(G75,'Product Catalog'!$B$7:$B$22,0))*INDEX('Regional Markets'!$E$8:$E$15,MATCH(E75,'Regional Markets'!$B$8:$B$15,0)),IF(K75="JPY",0,2))</f>
        <v>149</v>
      </c>
      <c r="M75" s="79" t="n">
        <v>0.03</v>
      </c>
      <c r="N75" s="94">
        <f>J75*L75*(1-M75)</f>
        <v>22546.68</v>
      </c>
      <c r="O75" s="78">
        <f>N75/INDEX('Regional Markets'!$E$8:$E$15,MATCH(E75,'Regional Markets'!$B$8:$B$15,0))</f>
        <v>22546.68</v>
      </c>
      <c r="P75" s="80" t="s">
        <v>227</v>
      </c>
      <c r="Q75" s="91" t="n">
        <v>46262</v>
      </c>
      <c r="R75" s="76" t="s">
        <v>251</v>
      </c>
    </row>
    <row r="76" ht="34.4" customHeight="true">
      <c r="B76" s="90" t="inlineStr">
        <is>
          <t>SO-26-1109</t>
        </is>
      </c>
      <c r="C76" s="91" t="n">
        <v>46234</v>
      </c>
      <c r="D76" s="76" t="inlineStr">
        <is>
          <t>Nordlicht Interiors</t>
        </is>
      </c>
      <c r="E76" s="92" t="s">
        <v>57</v>
      </c>
      <c r="F76" s="92" t="s">
        <v>249</v>
      </c>
      <c r="G76" s="92" t="inlineStr">
        <is>
          <t>LL-TXT-214</t>
        </is>
      </c>
      <c r="H76" s="76" t="str">
        <f>IFERROR(INDEX('Product Catalog'!$C$7:$C$22,MATCH(G76,'Product Catalog'!$B$7:$B$22,0)),"")</f>
        <v>Kesa Organic Cotton Towel Set</v>
      </c>
      <c r="I76" s="92" t="str">
        <f>IFERROR(INDEX('Product Catalog'!$D$7:$D$22,MATCH(G76,'Product Catalog'!$B$7:$B$22,0)),"")</f>
        <v>Textiles</v>
      </c>
      <c r="J76" s="93" t="n">
        <v>168</v>
      </c>
      <c r="K76" s="80" t="str">
        <f>IFERROR(INDEX('Regional Markets'!$D$8:$D$15,MATCH(E76,'Regional Markets'!$B$8:$B$15,0)),"")</f>
        <v>EUR</v>
      </c>
      <c r="L76" s="94">
        <f>ROUND(INDEX('Product Catalog'!$I$7:$I$22,MATCH(G76,'Product Catalog'!$B$7:$B$22,0))*INDEX('Regional Markets'!$E$8:$E$15,MATCH(E76,'Regional Markets'!$B$8:$B$15,0)),IF(K76="JPY",0,2))</f>
        <v>72.68</v>
      </c>
      <c r="M76" s="79" t="n">
        <v>0.055</v>
      </c>
      <c r="N76" s="94">
        <f>J76*L76*(1-M76)</f>
        <v>11538.6768</v>
      </c>
      <c r="O76" s="78">
        <f>N76/INDEX('Regional Markets'!$E$8:$E$15,MATCH(E76,'Regional Markets'!$B$8:$B$15,0))</f>
        <v>12542.04</v>
      </c>
      <c r="P76" s="80" t="s">
        <v>227</v>
      </c>
      <c r="Q76" s="91" t="n">
        <v>46265</v>
      </c>
      <c r="R76" s="76" t="s">
        <v>279</v>
      </c>
    </row>
    <row r="77" ht="34.4" customHeight="true">
      <c r="B77" s="90" t="inlineStr">
        <is>
          <t>SO-26-1110</t>
        </is>
      </c>
      <c r="C77" s="91" t="n">
        <v>46234</v>
      </c>
      <c r="D77" s="76" t="inlineStr">
        <is>
          <t>Galeries Ombre</t>
        </is>
      </c>
      <c r="E77" s="92" t="s">
        <v>58</v>
      </c>
      <c r="F77" s="92" t="s">
        <v>247</v>
      </c>
      <c r="G77" s="92" t="inlineStr">
        <is>
          <t>LL-KIT-410</t>
        </is>
      </c>
      <c r="H77" s="76" t="str">
        <f>IFERROR(INDEX('Product Catalog'!$C$7:$C$22,MATCH(G77,'Product Catalog'!$B$7:$B$22,0)),"")</f>
        <v>Rune Acacia Serving Board</v>
      </c>
      <c r="I77" s="92" t="str">
        <f>IFERROR(INDEX('Product Catalog'!$D$7:$D$22,MATCH(G77,'Product Catalog'!$B$7:$B$22,0)),"")</f>
        <v>Kitchen &amp; Dining</v>
      </c>
      <c r="J77" s="93" t="n">
        <v>624</v>
      </c>
      <c r="K77" s="80" t="str">
        <f>IFERROR(INDEX('Regional Markets'!$D$8:$D$15,MATCH(E77,'Regional Markets'!$B$8:$B$15,0)),"")</f>
        <v>EUR</v>
      </c>
      <c r="L77" s="94">
        <f>ROUND(INDEX('Product Catalog'!$I$7:$I$22,MATCH(G77,'Product Catalog'!$B$7:$B$22,0))*INDEX('Regional Markets'!$E$8:$E$15,MATCH(E77,'Regional Markets'!$B$8:$B$15,0)),IF(K77="JPY",0,2))</f>
        <v>53.36</v>
      </c>
      <c r="M77" s="79" t="n">
        <v>0.095</v>
      </c>
      <c r="N77" s="94">
        <f>J77*L77*(1-M77)</f>
        <v>30133.4592</v>
      </c>
      <c r="O77" s="78">
        <f>N77/INDEX('Regional Markets'!$E$8:$E$15,MATCH(E77,'Regional Markets'!$B$8:$B$15,0))</f>
        <v>32753.76</v>
      </c>
      <c r="P77" s="80" t="s">
        <v>227</v>
      </c>
      <c r="Q77" s="91" t="n">
        <v>46275</v>
      </c>
      <c r="R77" s="76" t="s">
        <v>266</v>
      </c>
    </row>
    <row r="78" ht="34.4" customHeight="true">
      <c r="B78" s="90" t="inlineStr">
        <is>
          <t>SO-26-1111</t>
        </is>
      </c>
      <c r="C78" s="91" t="n">
        <v>46237</v>
      </c>
      <c r="D78" s="76" t="inlineStr">
        <is>
          <t>Nordlicht Interiors</t>
        </is>
      </c>
      <c r="E78" s="92" t="s">
        <v>57</v>
      </c>
      <c r="F78" s="92" t="s">
        <v>249</v>
      </c>
      <c r="G78" s="92" t="inlineStr">
        <is>
          <t>LL-TXT-205</t>
        </is>
      </c>
      <c r="H78" s="76" t="str">
        <f>IFERROR(INDEX('Product Catalog'!$C$7:$C$22,MATCH(G78,'Product Catalog'!$B$7:$B$22,0)),"")</f>
        <v>Fell Merino Wool Throw</v>
      </c>
      <c r="I78" s="92" t="str">
        <f>IFERROR(INDEX('Product Catalog'!$D$7:$D$22,MATCH(G78,'Product Catalog'!$B$7:$B$22,0)),"")</f>
        <v>Textiles</v>
      </c>
      <c r="J78" s="93" t="n">
        <v>168</v>
      </c>
      <c r="K78" s="80" t="str">
        <f>IFERROR(INDEX('Regional Markets'!$D$8:$D$15,MATCH(E78,'Regional Markets'!$B$8:$B$15,0)),"")</f>
        <v>EUR</v>
      </c>
      <c r="L78" s="94">
        <f>ROUND(INDEX('Product Catalog'!$I$7:$I$22,MATCH(G78,'Product Catalog'!$B$7:$B$22,0))*INDEX('Regional Markets'!$E$8:$E$15,MATCH(E78,'Regional Markets'!$B$8:$B$15,0)),IF(K78="JPY",0,2))</f>
        <v>118.68</v>
      </c>
      <c r="M78" s="79" t="n">
        <v>0.045</v>
      </c>
      <c r="N78" s="94">
        <f>J78*L78*(1-M78)</f>
        <v>19041.0192</v>
      </c>
      <c r="O78" s="78">
        <f>N78/INDEX('Regional Markets'!$E$8:$E$15,MATCH(E78,'Regional Markets'!$B$8:$B$15,0))</f>
        <v>20696.76</v>
      </c>
      <c r="P78" s="80" t="s">
        <v>230</v>
      </c>
      <c r="Q78" s="91" t="n">
        <v>46262</v>
      </c>
      <c r="R78" s="76" t="s">
        <v>279</v>
      </c>
    </row>
    <row r="79" ht="34.4" customHeight="true">
      <c r="B79" s="90" t="inlineStr">
        <is>
          <t>SO-26-1112</t>
        </is>
      </c>
      <c r="C79" s="91" t="n">
        <v>46237</v>
      </c>
      <c r="D79" s="76" t="inlineStr">
        <is>
          <t>Wohnhaus Berger GmbH</t>
        </is>
      </c>
      <c r="E79" s="92" t="s">
        <v>57</v>
      </c>
      <c r="F79" s="92" t="s">
        <v>253</v>
      </c>
      <c r="G79" s="92" t="inlineStr">
        <is>
          <t>LL-KIT-410</t>
        </is>
      </c>
      <c r="H79" s="76" t="str">
        <f>IFERROR(INDEX('Product Catalog'!$C$7:$C$22,MATCH(G79,'Product Catalog'!$B$7:$B$22,0)),"")</f>
        <v>Rune Acacia Serving Board</v>
      </c>
      <c r="I79" s="92" t="str">
        <f>IFERROR(INDEX('Product Catalog'!$D$7:$D$22,MATCH(G79,'Product Catalog'!$B$7:$B$22,0)),"")</f>
        <v>Kitchen &amp; Dining</v>
      </c>
      <c r="J79" s="93" t="n">
        <v>360</v>
      </c>
      <c r="K79" s="80" t="str">
        <f>IFERROR(INDEX('Regional Markets'!$D$8:$D$15,MATCH(E79,'Regional Markets'!$B$8:$B$15,0)),"")</f>
        <v>EUR</v>
      </c>
      <c r="L79" s="94">
        <f>ROUND(INDEX('Product Catalog'!$I$7:$I$22,MATCH(G79,'Product Catalog'!$B$7:$B$22,0))*INDEX('Regional Markets'!$E$8:$E$15,MATCH(E79,'Regional Markets'!$B$8:$B$15,0)),IF(K79="JPY",0,2))</f>
        <v>53.36</v>
      </c>
      <c r="M79" s="79" t="n">
        <v>0.095</v>
      </c>
      <c r="N79" s="94">
        <f>J79*L79*(1-M79)</f>
        <v>17384.688</v>
      </c>
      <c r="O79" s="78">
        <f>N79/INDEX('Regional Markets'!$E$8:$E$15,MATCH(E79,'Regional Markets'!$B$8:$B$15,0))</f>
        <v>18896.4</v>
      </c>
      <c r="P79" s="80" t="s">
        <v>227</v>
      </c>
      <c r="Q79" s="91" t="n">
        <v>46265</v>
      </c>
      <c r="R79" s="76" t="s">
        <v>268</v>
      </c>
    </row>
    <row r="80" ht="34.4" customHeight="true">
      <c r="B80" s="90" t="inlineStr">
        <is>
          <t>SO-26-1113</t>
        </is>
      </c>
      <c r="C80" s="91" t="n">
        <v>46237</v>
      </c>
      <c r="D80" s="76" t="inlineStr">
        <is>
          <t>Maple Street Interiors</t>
        </is>
      </c>
      <c r="E80" s="92" t="s">
        <v>54</v>
      </c>
      <c r="F80" s="92" t="s">
        <v>253</v>
      </c>
      <c r="G80" s="92" t="inlineStr">
        <is>
          <t>LL-TXT-205</t>
        </is>
      </c>
      <c r="H80" s="76" t="str">
        <f>IFERROR(INDEX('Product Catalog'!$C$7:$C$22,MATCH(G80,'Product Catalog'!$B$7:$B$22,0)),"")</f>
        <v>Fell Merino Wool Throw</v>
      </c>
      <c r="I80" s="92" t="str">
        <f>IFERROR(INDEX('Product Catalog'!$D$7:$D$22,MATCH(G80,'Product Catalog'!$B$7:$B$22,0)),"")</f>
        <v>Textiles</v>
      </c>
      <c r="J80" s="93" t="n">
        <v>300</v>
      </c>
      <c r="K80" s="80" t="str">
        <f>IFERROR(INDEX('Regional Markets'!$D$8:$D$15,MATCH(E80,'Regional Markets'!$B$8:$B$15,0)),"")</f>
        <v>CAD</v>
      </c>
      <c r="L80" s="94">
        <f>ROUND(INDEX('Product Catalog'!$I$7:$I$22,MATCH(G80,'Product Catalog'!$B$7:$B$22,0))*INDEX('Regional Markets'!$E$8:$E$15,MATCH(E80,'Regional Markets'!$B$8:$B$15,0)),IF(K80="JPY",0,2))</f>
        <v>176.73</v>
      </c>
      <c r="M80" s="79" t="n">
        <v>0.08500000000000001</v>
      </c>
      <c r="N80" s="94">
        <f>J80*L80*(1-M80)</f>
        <v>48512.385</v>
      </c>
      <c r="O80" s="78">
        <f>N80/INDEX('Regional Markets'!$E$8:$E$15,MATCH(E80,'Regional Markets'!$B$8:$B$15,0))</f>
        <v>35410.5</v>
      </c>
      <c r="P80" s="80" t="s">
        <v>228</v>
      </c>
      <c r="Q80" s="91" t="n">
        <v>46266</v>
      </c>
      <c r="R80" s="76" t="s">
        <v>264</v>
      </c>
    </row>
    <row r="81" ht="34.4" customHeight="true">
      <c r="B81" s="90" t="inlineStr">
        <is>
          <t>SO-26-1114</t>
        </is>
      </c>
      <c r="C81" s="91" t="n">
        <v>46237</v>
      </c>
      <c r="D81" s="76" t="inlineStr">
        <is>
          <t>Hotel Seeblick Gruppe</t>
        </is>
      </c>
      <c r="E81" s="92" t="s">
        <v>57</v>
      </c>
      <c r="F81" s="92" t="s">
        <v>245</v>
      </c>
      <c r="G81" s="92" t="inlineStr">
        <is>
          <t>LL-FUR-305</t>
        </is>
      </c>
      <c r="H81" s="76" t="str">
        <f>IFERROR(INDEX('Product Catalog'!$C$7:$C$22,MATCH(G81,'Product Catalog'!$B$7:$B$22,0)),"")</f>
        <v>Brenna Extendable Oak Dining Table</v>
      </c>
      <c r="I81" s="92" t="str">
        <f>IFERROR(INDEX('Product Catalog'!$D$7:$D$22,MATCH(G81,'Product Catalog'!$B$7:$B$22,0)),"")</f>
        <v>Furniture</v>
      </c>
      <c r="J81" s="93" t="n">
        <v>40</v>
      </c>
      <c r="K81" s="80" t="str">
        <f>IFERROR(INDEX('Regional Markets'!$D$8:$D$15,MATCH(E81,'Regional Markets'!$B$8:$B$15,0)),"")</f>
        <v>EUR</v>
      </c>
      <c r="L81" s="94">
        <f>ROUND(INDEX('Product Catalog'!$I$7:$I$22,MATCH(G81,'Product Catalog'!$B$7:$B$22,0))*INDEX('Regional Markets'!$E$8:$E$15,MATCH(E81,'Regional Markets'!$B$8:$B$15,0)),IF(K81="JPY",0,2))</f>
        <v>1370.8</v>
      </c>
      <c r="M81" s="79" t="n">
        <v>0.195</v>
      </c>
      <c r="N81" s="94">
        <f>J81*L81*(1-M81)</f>
        <v>44139.76</v>
      </c>
      <c r="O81" s="78">
        <f>N81/INDEX('Regional Markets'!$E$8:$E$15,MATCH(E81,'Regional Markets'!$B$8:$B$15,0))</f>
        <v>47978</v>
      </c>
      <c r="P81" s="80" t="s">
        <v>227</v>
      </c>
      <c r="Q81" s="91" t="n">
        <v>46293</v>
      </c>
      <c r="R81" s="76" t="s">
        <v>281</v>
      </c>
    </row>
    <row r="82" ht="34.4" customHeight="true">
      <c r="B82" s="90" t="inlineStr">
        <is>
          <t>SO-26-1115</t>
        </is>
      </c>
      <c r="C82" s="91" t="n">
        <v>46244</v>
      </c>
      <c r="D82" s="76" t="inlineStr">
        <is>
          <t>Maple Street Interiors</t>
        </is>
      </c>
      <c r="E82" s="92" t="s">
        <v>54</v>
      </c>
      <c r="F82" s="92" t="s">
        <v>253</v>
      </c>
      <c r="G82" s="92" t="inlineStr">
        <is>
          <t>LL-FUR-309</t>
        </is>
      </c>
      <c r="H82" s="76" t="str">
        <f>IFERROR(INDEX('Product Catalog'!$C$7:$C$22,MATCH(G82,'Product Catalog'!$B$7:$B$22,0)),"")</f>
        <v>Otto Rattan Lounge Chair</v>
      </c>
      <c r="I82" s="92" t="str">
        <f>IFERROR(INDEX('Product Catalog'!$D$7:$D$22,MATCH(G82,'Product Catalog'!$B$7:$B$22,0)),"")</f>
        <v>Furniture</v>
      </c>
      <c r="J82" s="93" t="n">
        <v>32</v>
      </c>
      <c r="K82" s="80" t="str">
        <f>IFERROR(INDEX('Regional Markets'!$D$8:$D$15,MATCH(E82,'Regional Markets'!$B$8:$B$15,0)),"")</f>
        <v>CAD</v>
      </c>
      <c r="L82" s="94">
        <f>ROUND(INDEX('Product Catalog'!$I$7:$I$22,MATCH(G82,'Product Catalog'!$B$7:$B$22,0))*INDEX('Regional Markets'!$E$8:$E$15,MATCH(E82,'Regional Markets'!$B$8:$B$15,0)),IF(K82="JPY",0,2))</f>
        <v>945.3</v>
      </c>
      <c r="M82" s="79" t="n">
        <v>0.105</v>
      </c>
      <c r="N82" s="94">
        <f>J82*L82*(1-M82)</f>
        <v>27073.392</v>
      </c>
      <c r="O82" s="78">
        <f>N82/INDEX('Regional Markets'!$E$8:$E$15,MATCH(E82,'Regional Markets'!$B$8:$B$15,0))</f>
        <v>19761.6</v>
      </c>
      <c r="P82" s="80" t="s">
        <v>228</v>
      </c>
      <c r="Q82" s="91" t="n">
        <v>46272</v>
      </c>
      <c r="R82" s="76" t="s">
        <v>264</v>
      </c>
    </row>
    <row r="83" ht="21.2" customHeight="true">
      <c r="B83" s="90" t="inlineStr">
        <is>
          <t>SO-26-1116</t>
        </is>
      </c>
      <c r="C83" s="91" t="n">
        <v>46245</v>
      </c>
      <c r="D83" s="76" t="inlineStr">
        <is>
          <t>Saltbush Home</t>
        </is>
      </c>
      <c r="E83" s="92" t="s">
        <v>62</v>
      </c>
      <c r="F83" s="92" t="s">
        <v>253</v>
      </c>
      <c r="G83" s="92" t="inlineStr">
        <is>
          <t>LL-DEC-501</t>
        </is>
      </c>
      <c r="H83" s="76" t="str">
        <f>IFERROR(INDEX('Product Catalog'!$C$7:$C$22,MATCH(G83,'Product Catalog'!$B$7:$B$22,0)),"")</f>
        <v>Lumi Recycled Glass Vase</v>
      </c>
      <c r="I83" s="92" t="str">
        <f>IFERROR(INDEX('Product Catalog'!$D$7:$D$22,MATCH(G83,'Product Catalog'!$B$7:$B$22,0)),"")</f>
        <v>Decor &amp; Rugs</v>
      </c>
      <c r="J83" s="93" t="n">
        <v>576</v>
      </c>
      <c r="K83" s="80" t="str">
        <f>IFERROR(INDEX('Regional Markets'!$D$8:$D$15,MATCH(E83,'Regional Markets'!$B$8:$B$15,0)),"")</f>
        <v>AUD</v>
      </c>
      <c r="L83" s="94">
        <f>ROUND(INDEX('Product Catalog'!$I$7:$I$22,MATCH(G83,'Product Catalog'!$B$7:$B$22,0))*INDEX('Regional Markets'!$E$8:$E$15,MATCH(E83,'Regional Markets'!$B$8:$B$15,0)),IF(K83="JPY",0,2))</f>
        <v>97.28</v>
      </c>
      <c r="M83" s="79" t="n">
        <v>0.04</v>
      </c>
      <c r="N83" s="94">
        <f>J83*L83*(1-M83)</f>
        <v>53791.9488</v>
      </c>
      <c r="O83" s="78">
        <f>N83/INDEX('Regional Markets'!$E$8:$E$15,MATCH(E83,'Regional Markets'!$B$8:$B$15,0))</f>
        <v>35389.44</v>
      </c>
      <c r="P83" s="80" t="s">
        <v>227</v>
      </c>
      <c r="Q83" s="91" t="n">
        <v>46286</v>
      </c>
      <c r="R83" s="76" t="s">
        <v>275</v>
      </c>
    </row>
    <row r="84" ht="34.4" customHeight="true">
      <c r="B84" s="90" t="inlineStr">
        <is>
          <t>SO-26-1117</t>
        </is>
      </c>
      <c r="C84" s="91" t="n">
        <v>46247</v>
      </c>
      <c r="D84" s="76" t="inlineStr">
        <is>
          <t>Kew Lane Living</t>
        </is>
      </c>
      <c r="E84" s="92" t="s">
        <v>55</v>
      </c>
      <c r="F84" s="92" t="s">
        <v>253</v>
      </c>
      <c r="G84" s="92" t="inlineStr">
        <is>
          <t>LL-LGT-104</t>
        </is>
      </c>
      <c r="H84" s="76" t="str">
        <f>IFERROR(INDEX('Product Catalog'!$C$7:$C$22,MATCH(G84,'Product Catalog'!$B$7:$B$22,0)),"")</f>
        <v>Sora Ceramic Table Lamp</v>
      </c>
      <c r="I84" s="92" t="str">
        <f>IFERROR(INDEX('Product Catalog'!$D$7:$D$22,MATCH(G84,'Product Catalog'!$B$7:$B$22,0)),"")</f>
        <v>Lighting</v>
      </c>
      <c r="J84" s="93" t="n">
        <v>96</v>
      </c>
      <c r="K84" s="80" t="str">
        <f>IFERROR(INDEX('Regional Markets'!$D$8:$D$15,MATCH(E84,'Regional Markets'!$B$8:$B$15,0)),"")</f>
        <v>GBP</v>
      </c>
      <c r="L84" s="94">
        <f>ROUND(INDEX('Product Catalog'!$I$7:$I$22,MATCH(G84,'Product Catalog'!$B$7:$B$22,0))*INDEX('Regional Markets'!$E$8:$E$15,MATCH(E84,'Regional Markets'!$B$8:$B$15,0)),IF(K84="JPY",0,2))</f>
        <v>116.22</v>
      </c>
      <c r="M84" s="79" t="n">
        <v>0.045</v>
      </c>
      <c r="N84" s="94">
        <f>J84*L84*(1-M84)</f>
        <v>10655.0496</v>
      </c>
      <c r="O84" s="78">
        <f>N84/INDEX('Regional Markets'!$E$8:$E$15,MATCH(E84,'Regional Markets'!$B$8:$B$15,0))</f>
        <v>13660.32</v>
      </c>
      <c r="P84" s="80" t="s">
        <v>227</v>
      </c>
      <c r="Q84" s="91" t="n">
        <v>46268</v>
      </c>
      <c r="R84" s="76" t="s">
        <v>282</v>
      </c>
    </row>
    <row r="85" ht="34.4" customHeight="true">
      <c r="B85" s="90" t="inlineStr">
        <is>
          <t>SO-26-1118</t>
        </is>
      </c>
      <c r="C85" s="91" t="n">
        <v>46251</v>
      </c>
      <c r="D85" s="76" t="inlineStr">
        <is>
          <t>Kew Lane Living</t>
        </is>
      </c>
      <c r="E85" s="92" t="s">
        <v>55</v>
      </c>
      <c r="F85" s="92" t="s">
        <v>253</v>
      </c>
      <c r="G85" s="92" t="inlineStr">
        <is>
          <t>LL-FUR-309</t>
        </is>
      </c>
      <c r="H85" s="76" t="str">
        <f>IFERROR(INDEX('Product Catalog'!$C$7:$C$22,MATCH(G85,'Product Catalog'!$B$7:$B$22,0)),"")</f>
        <v>Otto Rattan Lounge Chair</v>
      </c>
      <c r="I85" s="92" t="str">
        <f>IFERROR(INDEX('Product Catalog'!$D$7:$D$22,MATCH(G85,'Product Catalog'!$B$7:$B$22,0)),"")</f>
        <v>Furniture</v>
      </c>
      <c r="J85" s="93" t="n">
        <v>44</v>
      </c>
      <c r="K85" s="80" t="str">
        <f>IFERROR(INDEX('Regional Markets'!$D$8:$D$15,MATCH(E85,'Regional Markets'!$B$8:$B$15,0)),"")</f>
        <v>GBP</v>
      </c>
      <c r="L85" s="94">
        <f>ROUND(INDEX('Product Catalog'!$I$7:$I$22,MATCH(G85,'Product Catalog'!$B$7:$B$22,0))*INDEX('Regional Markets'!$E$8:$E$15,MATCH(E85,'Regional Markets'!$B$8:$B$15,0)),IF(K85="JPY",0,2))</f>
        <v>538.2</v>
      </c>
      <c r="M85" s="79" t="n">
        <v>0.1</v>
      </c>
      <c r="N85" s="94">
        <f>J85*L85*(1-M85)</f>
        <v>21312.72</v>
      </c>
      <c r="O85" s="78">
        <f>N85/INDEX('Regional Markets'!$E$8:$E$15,MATCH(E85,'Regional Markets'!$B$8:$B$15,0))</f>
        <v>27324</v>
      </c>
      <c r="P85" s="80" t="s">
        <v>230</v>
      </c>
      <c r="Q85" s="91" t="n">
        <v>46290</v>
      </c>
      <c r="R85" s="76" t="s">
        <v>255</v>
      </c>
    </row>
    <row r="86" ht="34.4" customHeight="true">
      <c r="B86" s="90" t="inlineStr">
        <is>
          <t>SO-26-1119</t>
        </is>
      </c>
      <c r="C86" s="91" t="n">
        <v>46251</v>
      </c>
      <c r="D86" s="76" t="inlineStr">
        <is>
          <t>Wohnhaus Berger GmbH</t>
        </is>
      </c>
      <c r="E86" s="92" t="s">
        <v>57</v>
      </c>
      <c r="F86" s="92" t="s">
        <v>253</v>
      </c>
      <c r="G86" s="92" t="inlineStr">
        <is>
          <t>LL-DEC-507</t>
        </is>
      </c>
      <c r="H86" s="76" t="str">
        <f>IFERROR(INDEX('Product Catalog'!$C$7:$C$22,MATCH(G86,'Product Catalog'!$B$7:$B$22,0)),"")</f>
        <v>Tarn Wool Area Rug</v>
      </c>
      <c r="I86" s="92" t="str">
        <f>IFERROR(INDEX('Product Catalog'!$D$7:$D$22,MATCH(G86,'Product Catalog'!$B$7:$B$22,0)),"")</f>
        <v>Decor &amp; Rugs</v>
      </c>
      <c r="J86" s="93" t="n">
        <v>32</v>
      </c>
      <c r="K86" s="80" t="str">
        <f>IFERROR(INDEX('Regional Markets'!$D$8:$D$15,MATCH(E86,'Regional Markets'!$B$8:$B$15,0)),"")</f>
        <v>EUR</v>
      </c>
      <c r="L86" s="94">
        <f>ROUND(INDEX('Product Catalog'!$I$7:$I$22,MATCH(G86,'Product Catalog'!$B$7:$B$22,0))*INDEX('Regional Markets'!$E$8:$E$15,MATCH(E86,'Regional Markets'!$B$8:$B$15,0)),IF(K86="JPY",0,2))</f>
        <v>496.8</v>
      </c>
      <c r="M86" s="79" t="n">
        <v>0.075</v>
      </c>
      <c r="N86" s="94">
        <f>J86*L86*(1-M86)</f>
        <v>14705.28</v>
      </c>
      <c r="O86" s="78">
        <f>N86/INDEX('Regional Markets'!$E$8:$E$15,MATCH(E86,'Regional Markets'!$B$8:$B$15,0))</f>
        <v>15984</v>
      </c>
      <c r="P86" s="80" t="s">
        <v>227</v>
      </c>
      <c r="Q86" s="91" t="n">
        <v>46287</v>
      </c>
      <c r="R86" s="76" t="s">
        <v>283</v>
      </c>
    </row>
    <row r="87" ht="47.6" customHeight="true">
      <c r="B87" s="90" t="inlineStr">
        <is>
          <t>SO-26-1120</t>
        </is>
      </c>
      <c r="C87" s="91" t="n">
        <v>46254</v>
      </c>
      <c r="D87" s="76" t="s">
        <v>244</v>
      </c>
      <c r="E87" s="92" t="s">
        <v>52</v>
      </c>
      <c r="F87" s="92" t="s">
        <v>245</v>
      </c>
      <c r="G87" s="92" t="inlineStr">
        <is>
          <t>LL-TXT-201</t>
        </is>
      </c>
      <c r="H87" s="76" t="str">
        <f>IFERROR(INDEX('Product Catalog'!$C$7:$C$22,MATCH(G87,'Product Catalog'!$B$7:$B$22,0)),"")</f>
        <v>Arden Stonewashed Linen Duvet Set</v>
      </c>
      <c r="I87" s="92" t="str">
        <f>IFERROR(INDEX('Product Catalog'!$D$7:$D$22,MATCH(G87,'Product Catalog'!$B$7:$B$22,0)),"")</f>
        <v>Textiles</v>
      </c>
      <c r="J87" s="93" t="n">
        <v>52</v>
      </c>
      <c r="K87" s="80" t="str">
        <f>IFERROR(INDEX('Regional Markets'!$D$8:$D$15,MATCH(E87,'Regional Markets'!$B$8:$B$15,0)),"")</f>
        <v>USD</v>
      </c>
      <c r="L87" s="94">
        <f>ROUND(INDEX('Product Catalog'!$I$7:$I$22,MATCH(G87,'Product Catalog'!$B$7:$B$22,0))*INDEX('Regional Markets'!$E$8:$E$15,MATCH(E87,'Regional Markets'!$B$8:$B$15,0)),IF(K87="JPY",0,2))</f>
        <v>219</v>
      </c>
      <c r="M87" s="79" t="n">
        <v>0.185</v>
      </c>
      <c r="N87" s="94">
        <f>J87*L87*(1-M87)</f>
        <v>9281.22</v>
      </c>
      <c r="O87" s="78">
        <f>N87/INDEX('Regional Markets'!$E$8:$E$15,MATCH(E87,'Regional Markets'!$B$8:$B$15,0))</f>
        <v>9281.22</v>
      </c>
      <c r="P87" s="80" t="s">
        <v>228</v>
      </c>
      <c r="Q87" s="91" t="n">
        <v>46308</v>
      </c>
      <c r="R87" s="76" t="s">
        <v>271</v>
      </c>
    </row>
    <row r="88" ht="34.4" customHeight="true">
      <c r="B88" s="90" t="inlineStr">
        <is>
          <t>SO-26-1121</t>
        </is>
      </c>
      <c r="C88" s="91" t="n">
        <v>46260</v>
      </c>
      <c r="D88" s="76" t="inlineStr">
        <is>
          <t>Kurashi Select</t>
        </is>
      </c>
      <c r="E88" s="92" t="s">
        <v>60</v>
      </c>
      <c r="F88" s="92" t="s">
        <v>253</v>
      </c>
      <c r="G88" s="92" t="inlineStr">
        <is>
          <t>LL-LGT-112</t>
        </is>
      </c>
      <c r="H88" s="76" t="str">
        <f>IFERROR(INDEX('Product Catalog'!$C$7:$C$22,MATCH(G88,'Product Catalog'!$B$7:$B$22,0)),"")</f>
        <v>Vik Brass Floor Lamp</v>
      </c>
      <c r="I88" s="92" t="str">
        <f>IFERROR(INDEX('Product Catalog'!$D$7:$D$22,MATCH(G88,'Product Catalog'!$B$7:$B$22,0)),"")</f>
        <v>Lighting</v>
      </c>
      <c r="J88" s="93" t="n">
        <v>24</v>
      </c>
      <c r="K88" s="80" t="str">
        <f>IFERROR(INDEX('Regional Markets'!$D$8:$D$15,MATCH(E88,'Regional Markets'!$B$8:$B$15,0)),"")</f>
        <v>JPY</v>
      </c>
      <c r="L88" s="94">
        <f>ROUND(INDEX('Product Catalog'!$I$7:$I$22,MATCH(G88,'Product Catalog'!$B$7:$B$22,0))*INDEX('Regional Markets'!$E$8:$E$15,MATCH(E88,'Regional Markets'!$B$8:$B$15,0)),IF(K88="JPY",0,2))</f>
        <v>48692</v>
      </c>
      <c r="M88" s="79" t="n">
        <v>0.08500000000000001</v>
      </c>
      <c r="N88" s="94">
        <f>J88*L88*(1-M88)</f>
        <v>1069276.32</v>
      </c>
      <c r="O88" s="78">
        <f>N88/INDEX('Regional Markets'!$E$8:$E$15,MATCH(E88,'Regional Markets'!$B$8:$B$15,0))</f>
        <v>7224.84</v>
      </c>
      <c r="P88" s="80" t="s">
        <v>227</v>
      </c>
      <c r="Q88" s="91" t="n">
        <v>46286</v>
      </c>
      <c r="R88" s="76" t="s">
        <v>276</v>
      </c>
    </row>
    <row r="89" ht="21.2" customHeight="true">
      <c r="B89" s="90" t="inlineStr">
        <is>
          <t>SO-26-1122</t>
        </is>
      </c>
      <c r="C89" s="91" t="n">
        <v>46260</v>
      </c>
      <c r="D89" s="76" t="inlineStr">
        <is>
          <t>Saltbush Home</t>
        </is>
      </c>
      <c r="E89" s="92" t="s">
        <v>62</v>
      </c>
      <c r="F89" s="92" t="s">
        <v>253</v>
      </c>
      <c r="G89" s="92" t="inlineStr">
        <is>
          <t>LL-TXT-214</t>
        </is>
      </c>
      <c r="H89" s="76" t="str">
        <f>IFERROR(INDEX('Product Catalog'!$C$7:$C$22,MATCH(G89,'Product Catalog'!$B$7:$B$22,0)),"")</f>
        <v>Kesa Organic Cotton Towel Set</v>
      </c>
      <c r="I89" s="92" t="str">
        <f>IFERROR(INDEX('Product Catalog'!$D$7:$D$22,MATCH(G89,'Product Catalog'!$B$7:$B$22,0)),"")</f>
        <v>Textiles</v>
      </c>
      <c r="J89" s="93" t="n">
        <v>288</v>
      </c>
      <c r="K89" s="80" t="str">
        <f>IFERROR(INDEX('Regional Markets'!$D$8:$D$15,MATCH(E89,'Regional Markets'!$B$8:$B$15,0)),"")</f>
        <v>AUD</v>
      </c>
      <c r="L89" s="94">
        <f>ROUND(INDEX('Product Catalog'!$I$7:$I$22,MATCH(G89,'Product Catalog'!$B$7:$B$22,0))*INDEX('Regional Markets'!$E$8:$E$15,MATCH(E89,'Regional Markets'!$B$8:$B$15,0)),IF(K89="JPY",0,2))</f>
        <v>120.08</v>
      </c>
      <c r="M89" s="79" t="n">
        <v>0.05</v>
      </c>
      <c r="N89" s="94">
        <f>J89*L89*(1-M89)</f>
        <v>32853.888</v>
      </c>
      <c r="O89" s="78">
        <f>N89/INDEX('Regional Markets'!$E$8:$E$15,MATCH(E89,'Regional Markets'!$B$8:$B$15,0))</f>
        <v>21614.4</v>
      </c>
      <c r="P89" s="80" t="s">
        <v>228</v>
      </c>
      <c r="Q89" s="91" t="n">
        <v>46293</v>
      </c>
      <c r="R89" s="76" t="s">
        <v>284</v>
      </c>
    </row>
    <row r="90" ht="34.4" customHeight="true">
      <c r="B90" s="90" t="inlineStr">
        <is>
          <t>SO-26-1123</t>
        </is>
      </c>
      <c r="C90" s="91" t="n">
        <v>46261</v>
      </c>
      <c r="D90" s="76" t="inlineStr">
        <is>
          <t>Hotel Seeblick Gruppe</t>
        </is>
      </c>
      <c r="E90" s="92" t="s">
        <v>57</v>
      </c>
      <c r="F90" s="92" t="s">
        <v>245</v>
      </c>
      <c r="G90" s="92" t="inlineStr">
        <is>
          <t>LL-FUR-309</t>
        </is>
      </c>
      <c r="H90" s="76" t="str">
        <f>IFERROR(INDEX('Product Catalog'!$C$7:$C$22,MATCH(G90,'Product Catalog'!$B$7:$B$22,0)),"")</f>
        <v>Otto Rattan Lounge Chair</v>
      </c>
      <c r="I90" s="92" t="str">
        <f>IFERROR(INDEX('Product Catalog'!$D$7:$D$22,MATCH(G90,'Product Catalog'!$B$7:$B$22,0)),"")</f>
        <v>Furniture</v>
      </c>
      <c r="J90" s="93" t="n">
        <v>56</v>
      </c>
      <c r="K90" s="80" t="str">
        <f>IFERROR(INDEX('Regional Markets'!$D$8:$D$15,MATCH(E90,'Regional Markets'!$B$8:$B$15,0)),"")</f>
        <v>EUR</v>
      </c>
      <c r="L90" s="94">
        <f>ROUND(INDEX('Product Catalog'!$I$7:$I$22,MATCH(G90,'Product Catalog'!$B$7:$B$22,0))*INDEX('Regional Markets'!$E$8:$E$15,MATCH(E90,'Regional Markets'!$B$8:$B$15,0)),IF(K90="JPY",0,2))</f>
        <v>634.8</v>
      </c>
      <c r="M90" s="79" t="n">
        <v>0.135</v>
      </c>
      <c r="N90" s="94">
        <f>J90*L90*(1-M90)</f>
        <v>30749.712</v>
      </c>
      <c r="O90" s="78">
        <f>N90/INDEX('Regional Markets'!$E$8:$E$15,MATCH(E90,'Regional Markets'!$B$8:$B$15,0))</f>
        <v>33423.6</v>
      </c>
      <c r="P90" s="80" t="s">
        <v>227</v>
      </c>
      <c r="Q90" s="91" t="n">
        <v>46293</v>
      </c>
      <c r="R90" s="76" t="s">
        <v>281</v>
      </c>
    </row>
    <row r="91" ht="34.4" customHeight="true">
      <c r="B91" s="90" t="inlineStr">
        <is>
          <t>SO-26-1124</t>
        </is>
      </c>
      <c r="C91" s="91" t="n">
        <v>46265</v>
      </c>
      <c r="D91" s="76" t="inlineStr">
        <is>
          <t>Harbor &amp; Pine Home</t>
        </is>
      </c>
      <c r="E91" s="92" t="s">
        <v>52</v>
      </c>
      <c r="F91" s="92" t="s">
        <v>253</v>
      </c>
      <c r="G91" s="92" t="inlineStr">
        <is>
          <t>LL-KIT-406</t>
        </is>
      </c>
      <c r="H91" s="76" t="str">
        <f>IFERROR(INDEX('Product Catalog'!$C$7:$C$22,MATCH(G91,'Product Catalog'!$B$7:$B$22,0)),"")</f>
        <v>Aska Enamelled Cast Iron Casserole</v>
      </c>
      <c r="I91" s="92" t="str">
        <f>IFERROR(INDEX('Product Catalog'!$D$7:$D$22,MATCH(G91,'Product Catalog'!$B$7:$B$22,0)),"")</f>
        <v>Kitchen &amp; Dining</v>
      </c>
      <c r="J91" s="93" t="n">
        <v>52</v>
      </c>
      <c r="K91" s="80" t="str">
        <f>IFERROR(INDEX('Regional Markets'!$D$8:$D$15,MATCH(E91,'Regional Markets'!$B$8:$B$15,0)),"")</f>
        <v>USD</v>
      </c>
      <c r="L91" s="94">
        <f>ROUND(INDEX('Product Catalog'!$I$7:$I$22,MATCH(G91,'Product Catalog'!$B$7:$B$22,0))*INDEX('Regional Markets'!$E$8:$E$15,MATCH(E91,'Regional Markets'!$B$8:$B$15,0)),IF(K91="JPY",0,2))</f>
        <v>210</v>
      </c>
      <c r="M91" s="79" t="n">
        <v>0.075</v>
      </c>
      <c r="N91" s="94">
        <f>J91*L91*(1-M91)</f>
        <v>10101</v>
      </c>
      <c r="O91" s="78">
        <f>N91/INDEX('Regional Markets'!$E$8:$E$15,MATCH(E91,'Regional Markets'!$B$8:$B$15,0))</f>
        <v>10101</v>
      </c>
      <c r="P91" s="80" t="s">
        <v>227</v>
      </c>
      <c r="Q91" s="91" t="n">
        <v>46296</v>
      </c>
      <c r="R91" s="76" t="s">
        <v>265</v>
      </c>
    </row>
    <row r="92" ht="47.6" customHeight="true">
      <c r="B92" s="90" t="inlineStr">
        <is>
          <t>SO-26-1125</t>
        </is>
      </c>
      <c r="C92" s="91" t="n">
        <v>46267</v>
      </c>
      <c r="D92" s="76" t="inlineStr">
        <is>
          <t>Hem &amp; Sjö Distribution AB</t>
        </is>
      </c>
      <c r="E92" s="92" t="s">
        <v>59</v>
      </c>
      <c r="F92" s="92" t="s">
        <v>260</v>
      </c>
      <c r="G92" s="92" t="inlineStr">
        <is>
          <t>LL-TXT-210</t>
        </is>
      </c>
      <c r="H92" s="76" t="str">
        <f>IFERROR(INDEX('Product Catalog'!$C$7:$C$22,MATCH(G92,'Product Catalog'!$B$7:$B$22,0)),"")</f>
        <v>Marlow Hand-Loomed Cushion Cover</v>
      </c>
      <c r="I92" s="92" t="str">
        <f>IFERROR(INDEX('Product Catalog'!$D$7:$D$22,MATCH(G92,'Product Catalog'!$B$7:$B$22,0)),"")</f>
        <v>Textiles</v>
      </c>
      <c r="J92" s="93" t="n">
        <v>614</v>
      </c>
      <c r="K92" s="80" t="str">
        <f>IFERROR(INDEX('Regional Markets'!$D$8:$D$15,MATCH(E92,'Regional Markets'!$B$8:$B$15,0)),"")</f>
        <v>SEK</v>
      </c>
      <c r="L92" s="94">
        <f>ROUND(INDEX('Product Catalog'!$I$7:$I$22,MATCH(G92,'Product Catalog'!$B$7:$B$22,0))*INDEX('Regional Markets'!$E$8:$E$15,MATCH(E92,'Regional Markets'!$B$8:$B$15,0)),IF(K92="JPY",0,2))</f>
        <v>413.4</v>
      </c>
      <c r="M92" s="79" t="n">
        <v>0.13</v>
      </c>
      <c r="N92" s="94">
        <f>J92*L92*(1-M92)</f>
        <v>220830.012</v>
      </c>
      <c r="O92" s="78">
        <f>N92/INDEX('Regional Markets'!$E$8:$E$15,MATCH(E92,'Regional Markets'!$B$8:$B$15,0))</f>
        <v>20833.02</v>
      </c>
      <c r="P92" s="80" t="s">
        <v>227</v>
      </c>
      <c r="Q92" s="91" t="n">
        <v>46303</v>
      </c>
      <c r="R92" s="76" t="s">
        <v>261</v>
      </c>
    </row>
    <row r="93" ht="34.4" customHeight="true">
      <c r="B93" s="90" t="inlineStr">
        <is>
          <t>SO-26-1126</t>
        </is>
      </c>
      <c r="C93" s="91" t="n">
        <v>46272</v>
      </c>
      <c r="D93" s="76" t="inlineStr">
        <is>
          <t>Hotel Seeblick Gruppe</t>
        </is>
      </c>
      <c r="E93" s="92" t="s">
        <v>57</v>
      </c>
      <c r="F93" s="92" t="s">
        <v>245</v>
      </c>
      <c r="G93" s="92" t="inlineStr">
        <is>
          <t>LL-KIT-401</t>
        </is>
      </c>
      <c r="H93" s="76" t="str">
        <f>IFERROR(INDEX('Product Catalog'!$C$7:$C$22,MATCH(G93,'Product Catalog'!$B$7:$B$22,0)),"")</f>
        <v>Hollis Stoneware Dinner Set</v>
      </c>
      <c r="I93" s="92" t="str">
        <f>IFERROR(INDEX('Product Catalog'!$D$7:$D$22,MATCH(G93,'Product Catalog'!$B$7:$B$22,0)),"")</f>
        <v>Kitchen &amp; Dining</v>
      </c>
      <c r="J93" s="93" t="n">
        <v>70</v>
      </c>
      <c r="K93" s="80" t="str">
        <f>IFERROR(INDEX('Regional Markets'!$D$8:$D$15,MATCH(E93,'Regional Markets'!$B$8:$B$15,0)),"")</f>
        <v>EUR</v>
      </c>
      <c r="L93" s="94">
        <f>ROUND(INDEX('Product Catalog'!$I$7:$I$22,MATCH(G93,'Product Catalog'!$B$7:$B$22,0))*INDEX('Regional Markets'!$E$8:$E$15,MATCH(E93,'Regional Markets'!$B$8:$B$15,0)),IF(K93="JPY",0,2))</f>
        <v>151.8</v>
      </c>
      <c r="M93" s="79" t="n">
        <v>0.125</v>
      </c>
      <c r="N93" s="94">
        <f>J93*L93*(1-M93)</f>
        <v>9297.75</v>
      </c>
      <c r="O93" s="78">
        <f>N93/INDEX('Regional Markets'!$E$8:$E$15,MATCH(E93,'Regional Markets'!$B$8:$B$15,0))</f>
        <v>10106.25</v>
      </c>
      <c r="P93" s="80" t="s">
        <v>228</v>
      </c>
      <c r="Q93" s="91" t="n">
        <v>46307</v>
      </c>
      <c r="R93" s="76" t="s">
        <v>281</v>
      </c>
    </row>
    <row r="94" ht="34.4" customHeight="true">
      <c r="B94" s="90" t="inlineStr">
        <is>
          <t>SO-26-1127</t>
        </is>
      </c>
      <c r="C94" s="91" t="n">
        <v>46272</v>
      </c>
      <c r="D94" s="76" t="inlineStr">
        <is>
          <t>Harbor &amp; Pine Home</t>
        </is>
      </c>
      <c r="E94" s="92" t="s">
        <v>52</v>
      </c>
      <c r="F94" s="92" t="s">
        <v>253</v>
      </c>
      <c r="G94" s="92" t="inlineStr">
        <is>
          <t>LL-KIT-401</t>
        </is>
      </c>
      <c r="H94" s="76" t="str">
        <f>IFERROR(INDEX('Product Catalog'!$C$7:$C$22,MATCH(G94,'Product Catalog'!$B$7:$B$22,0)),"")</f>
        <v>Hollis Stoneware Dinner Set</v>
      </c>
      <c r="I94" s="92" t="str">
        <f>IFERROR(INDEX('Product Catalog'!$D$7:$D$22,MATCH(G94,'Product Catalog'!$B$7:$B$22,0)),"")</f>
        <v>Kitchen &amp; Dining</v>
      </c>
      <c r="J94" s="93" t="n">
        <v>96</v>
      </c>
      <c r="K94" s="80" t="str">
        <f>IFERROR(INDEX('Regional Markets'!$D$8:$D$15,MATCH(E94,'Regional Markets'!$B$8:$B$15,0)),"")</f>
        <v>USD</v>
      </c>
      <c r="L94" s="94">
        <f>ROUND(INDEX('Product Catalog'!$I$7:$I$22,MATCH(G94,'Product Catalog'!$B$7:$B$22,0))*INDEX('Regional Markets'!$E$8:$E$15,MATCH(E94,'Regional Markets'!$B$8:$B$15,0)),IF(K94="JPY",0,2))</f>
        <v>165</v>
      </c>
      <c r="M94" s="79" t="n">
        <v>0.07000000000000001</v>
      </c>
      <c r="N94" s="94">
        <f>J94*L94*(1-M94)</f>
        <v>14731.2</v>
      </c>
      <c r="O94" s="78">
        <f>N94/INDEX('Regional Markets'!$E$8:$E$15,MATCH(E94,'Regional Markets'!$B$8:$B$15,0))</f>
        <v>14731.2</v>
      </c>
      <c r="P94" s="80" t="s">
        <v>228</v>
      </c>
      <c r="Q94" s="91" t="n">
        <v>46307</v>
      </c>
      <c r="R94" s="76" t="s">
        <v>265</v>
      </c>
    </row>
    <row r="95" ht="34.4" customHeight="true">
      <c r="B95" s="90" t="inlineStr">
        <is>
          <t>SO-26-1128</t>
        </is>
      </c>
      <c r="C95" s="91" t="n">
        <v>46273</v>
      </c>
      <c r="D95" s="76" t="inlineStr">
        <is>
          <t>Ashcombe &amp; Reed</t>
        </is>
      </c>
      <c r="E95" s="92" t="s">
        <v>55</v>
      </c>
      <c r="F95" s="92" t="s">
        <v>247</v>
      </c>
      <c r="G95" s="92" t="inlineStr">
        <is>
          <t>LL-DEC-507</t>
        </is>
      </c>
      <c r="H95" s="76" t="str">
        <f>IFERROR(INDEX('Product Catalog'!$C$7:$C$22,MATCH(G95,'Product Catalog'!$B$7:$B$22,0)),"")</f>
        <v>Tarn Wool Area Rug</v>
      </c>
      <c r="I95" s="92" t="str">
        <f>IFERROR(INDEX('Product Catalog'!$D$7:$D$22,MATCH(G95,'Product Catalog'!$B$7:$B$22,0)),"")</f>
        <v>Decor &amp; Rugs</v>
      </c>
      <c r="J95" s="93" t="n">
        <v>24</v>
      </c>
      <c r="K95" s="80" t="str">
        <f>IFERROR(INDEX('Regional Markets'!$D$8:$D$15,MATCH(E95,'Regional Markets'!$B$8:$B$15,0)),"")</f>
        <v>GBP</v>
      </c>
      <c r="L95" s="94">
        <f>ROUND(INDEX('Product Catalog'!$I$7:$I$22,MATCH(G95,'Product Catalog'!$B$7:$B$22,0))*INDEX('Regional Markets'!$E$8:$E$15,MATCH(E95,'Regional Markets'!$B$8:$B$15,0)),IF(K95="JPY",0,2))</f>
        <v>421.2</v>
      </c>
      <c r="M95" s="79" t="n">
        <v>0.095</v>
      </c>
      <c r="N95" s="94">
        <f>J95*L95*(1-M95)</f>
        <v>9148.464</v>
      </c>
      <c r="O95" s="78">
        <f>N95/INDEX('Regional Markets'!$E$8:$E$15,MATCH(E95,'Regional Markets'!$B$8:$B$15,0))</f>
        <v>11728.8</v>
      </c>
      <c r="P95" s="80" t="s">
        <v>228</v>
      </c>
      <c r="Q95" s="91" t="n">
        <v>46310</v>
      </c>
      <c r="R95" s="76" t="s">
        <v>280</v>
      </c>
    </row>
    <row r="96" ht="34.4" customHeight="true">
      <c r="B96" s="90" t="inlineStr">
        <is>
          <t>SO-26-1129</t>
        </is>
      </c>
      <c r="C96" s="91" t="n">
        <v>46274</v>
      </c>
      <c r="D96" s="76" t="inlineStr">
        <is>
          <t>Hinoki Living</t>
        </is>
      </c>
      <c r="E96" s="92" t="s">
        <v>60</v>
      </c>
      <c r="F96" s="92" t="s">
        <v>249</v>
      </c>
      <c r="G96" s="92" t="inlineStr">
        <is>
          <t>LL-KIT-406</t>
        </is>
      </c>
      <c r="H96" s="76" t="str">
        <f>IFERROR(INDEX('Product Catalog'!$C$7:$C$22,MATCH(G96,'Product Catalog'!$B$7:$B$22,0)),"")</f>
        <v>Aska Enamelled Cast Iron Casserole</v>
      </c>
      <c r="I96" s="92" t="str">
        <f>IFERROR(INDEX('Product Catalog'!$D$7:$D$22,MATCH(G96,'Product Catalog'!$B$7:$B$22,0)),"")</f>
        <v>Kitchen &amp; Dining</v>
      </c>
      <c r="J96" s="93" t="n">
        <v>52</v>
      </c>
      <c r="K96" s="80" t="str">
        <f>IFERROR(INDEX('Regional Markets'!$D$8:$D$15,MATCH(E96,'Regional Markets'!$B$8:$B$15,0)),"")</f>
        <v>JPY</v>
      </c>
      <c r="L96" s="94">
        <f>ROUND(INDEX('Product Catalog'!$I$7:$I$22,MATCH(G96,'Product Catalog'!$B$7:$B$22,0))*INDEX('Regional Markets'!$E$8:$E$15,MATCH(E96,'Regional Markets'!$B$8:$B$15,0)),IF(K96="JPY",0,2))</f>
        <v>31080</v>
      </c>
      <c r="M96" s="79" t="n">
        <v>0.04</v>
      </c>
      <c r="N96" s="94">
        <f>J96*L96*(1-M96)</f>
        <v>1551513.6</v>
      </c>
      <c r="O96" s="78">
        <f>N96/INDEX('Regional Markets'!$E$8:$E$15,MATCH(E96,'Regional Markets'!$B$8:$B$15,0))</f>
        <v>10483.2</v>
      </c>
      <c r="P96" s="80" t="s">
        <v>228</v>
      </c>
      <c r="Q96" s="91" t="n">
        <v>46309</v>
      </c>
      <c r="R96" s="76" t="s">
        <v>270</v>
      </c>
    </row>
    <row r="97" ht="34.4" customHeight="true">
      <c r="B97" s="90" t="inlineStr">
        <is>
          <t>SO-26-1130</t>
        </is>
      </c>
      <c r="C97" s="91" t="n">
        <v>46279</v>
      </c>
      <c r="D97" s="76" t="inlineStr">
        <is>
          <t>Wohnhaus Berger GmbH</t>
        </is>
      </c>
      <c r="E97" s="92" t="s">
        <v>57</v>
      </c>
      <c r="F97" s="92" t="s">
        <v>253</v>
      </c>
      <c r="G97" s="92" t="inlineStr">
        <is>
          <t>LL-TXT-214</t>
        </is>
      </c>
      <c r="H97" s="76" t="str">
        <f>IFERROR(INDEX('Product Catalog'!$C$7:$C$22,MATCH(G97,'Product Catalog'!$B$7:$B$22,0)),"")</f>
        <v>Kesa Organic Cotton Towel Set</v>
      </c>
      <c r="I97" s="92" t="str">
        <f>IFERROR(INDEX('Product Catalog'!$D$7:$D$22,MATCH(G97,'Product Catalog'!$B$7:$B$22,0)),"")</f>
        <v>Textiles</v>
      </c>
      <c r="J97" s="93" t="n">
        <v>108</v>
      </c>
      <c r="K97" s="80" t="str">
        <f>IFERROR(INDEX('Regional Markets'!$D$8:$D$15,MATCH(E97,'Regional Markets'!$B$8:$B$15,0)),"")</f>
        <v>EUR</v>
      </c>
      <c r="L97" s="94">
        <f>ROUND(INDEX('Product Catalog'!$I$7:$I$22,MATCH(G97,'Product Catalog'!$B$7:$B$22,0))*INDEX('Regional Markets'!$E$8:$E$15,MATCH(E97,'Regional Markets'!$B$8:$B$15,0)),IF(K97="JPY",0,2))</f>
        <v>72.68</v>
      </c>
      <c r="M97" s="79" t="n">
        <v>0.08500000000000001</v>
      </c>
      <c r="N97" s="94">
        <f>J97*L97*(1-M97)</f>
        <v>7182.2376</v>
      </c>
      <c r="O97" s="78">
        <f>N97/INDEX('Regional Markets'!$E$8:$E$15,MATCH(E97,'Regional Markets'!$B$8:$B$15,0))</f>
        <v>7806.78</v>
      </c>
      <c r="P97" s="80" t="s">
        <v>228</v>
      </c>
      <c r="Q97" s="91" t="n">
        <v>46304</v>
      </c>
      <c r="R97" s="76" t="s">
        <v>268</v>
      </c>
    </row>
    <row r="98" ht="47.6" customHeight="true">
      <c r="B98" s="90" t="inlineStr">
        <is>
          <t>SO-26-1131</t>
        </is>
      </c>
      <c r="C98" s="91" t="n">
        <v>46282</v>
      </c>
      <c r="D98" s="76" t="inlineStr">
        <is>
          <t>Kurashi Select</t>
        </is>
      </c>
      <c r="E98" s="92" t="s">
        <v>60</v>
      </c>
      <c r="F98" s="92" t="s">
        <v>253</v>
      </c>
      <c r="G98" s="92" t="inlineStr">
        <is>
          <t>LL-KIT-410</t>
        </is>
      </c>
      <c r="H98" s="76" t="str">
        <f>IFERROR(INDEX('Product Catalog'!$C$7:$C$22,MATCH(G98,'Product Catalog'!$B$7:$B$22,0)),"")</f>
        <v>Rune Acacia Serving Board</v>
      </c>
      <c r="I98" s="92" t="str">
        <f>IFERROR(INDEX('Product Catalog'!$D$7:$D$22,MATCH(G98,'Product Catalog'!$B$7:$B$22,0)),"")</f>
        <v>Kitchen &amp; Dining</v>
      </c>
      <c r="J98" s="93" t="n">
        <v>624</v>
      </c>
      <c r="K98" s="80" t="str">
        <f>IFERROR(INDEX('Regional Markets'!$D$8:$D$15,MATCH(E98,'Regional Markets'!$B$8:$B$15,0)),"")</f>
        <v>JPY</v>
      </c>
      <c r="L98" s="94">
        <f>ROUND(INDEX('Product Catalog'!$I$7:$I$22,MATCH(G98,'Product Catalog'!$B$7:$B$22,0))*INDEX('Regional Markets'!$E$8:$E$15,MATCH(E98,'Regional Markets'!$B$8:$B$15,0)),IF(K98="JPY",0,2))</f>
        <v>8584</v>
      </c>
      <c r="M98" s="79" t="n">
        <v>0.04</v>
      </c>
      <c r="N98" s="94">
        <f>J98*L98*(1-M98)</f>
        <v>5142159.36</v>
      </c>
      <c r="O98" s="78">
        <f>N98/INDEX('Regional Markets'!$E$8:$E$15,MATCH(E98,'Regional Markets'!$B$8:$B$15,0))</f>
        <v>34744.32</v>
      </c>
      <c r="P98" s="80" t="s">
        <v>228</v>
      </c>
      <c r="Q98" s="91" t="n">
        <v>46322</v>
      </c>
      <c r="R98" s="76" t="s">
        <v>259</v>
      </c>
    </row>
    <row r="99" ht="34.4" customHeight="true">
      <c r="B99" s="90" t="inlineStr">
        <is>
          <t>SO-26-1132</t>
        </is>
      </c>
      <c r="C99" s="91" t="n">
        <v>46282</v>
      </c>
      <c r="D99" s="76" t="inlineStr">
        <is>
          <t>Wohnhaus Berger GmbH</t>
        </is>
      </c>
      <c r="E99" s="92" t="s">
        <v>57</v>
      </c>
      <c r="F99" s="92" t="s">
        <v>253</v>
      </c>
      <c r="G99" s="92" t="inlineStr">
        <is>
          <t>LL-KIT-406</t>
        </is>
      </c>
      <c r="H99" s="76" t="str">
        <f>IFERROR(INDEX('Product Catalog'!$C$7:$C$22,MATCH(G99,'Product Catalog'!$B$7:$B$22,0)),"")</f>
        <v>Aska Enamelled Cast Iron Casserole</v>
      </c>
      <c r="I99" s="92" t="str">
        <f>IFERROR(INDEX('Product Catalog'!$D$7:$D$22,MATCH(G99,'Product Catalog'!$B$7:$B$22,0)),"")</f>
        <v>Kitchen &amp; Dining</v>
      </c>
      <c r="J99" s="93" t="n">
        <v>56</v>
      </c>
      <c r="K99" s="80" t="str">
        <f>IFERROR(INDEX('Regional Markets'!$D$8:$D$15,MATCH(E99,'Regional Markets'!$B$8:$B$15,0)),"")</f>
        <v>EUR</v>
      </c>
      <c r="L99" s="94">
        <f>ROUND(INDEX('Product Catalog'!$I$7:$I$22,MATCH(G99,'Product Catalog'!$B$7:$B$22,0))*INDEX('Regional Markets'!$E$8:$E$15,MATCH(E99,'Regional Markets'!$B$8:$B$15,0)),IF(K99="JPY",0,2))</f>
        <v>193.2</v>
      </c>
      <c r="M99" s="79" t="n">
        <v>0.075</v>
      </c>
      <c r="N99" s="94">
        <f>J99*L99*(1-M99)</f>
        <v>10007.76</v>
      </c>
      <c r="O99" s="78">
        <f>N99/INDEX('Regional Markets'!$E$8:$E$15,MATCH(E99,'Regional Markets'!$B$8:$B$15,0))</f>
        <v>10878</v>
      </c>
      <c r="P99" s="80" t="s">
        <v>229</v>
      </c>
      <c r="Q99" s="91" t="n">
        <v>46318</v>
      </c>
      <c r="R99" s="76" t="s">
        <v>283</v>
      </c>
    </row>
    <row r="100" ht="34.4" customHeight="true">
      <c r="B100" s="90" t="inlineStr">
        <is>
          <t>SO-26-1133</t>
        </is>
      </c>
      <c r="C100" s="91" t="n">
        <v>46286</v>
      </c>
      <c r="D100" s="76" t="inlineStr">
        <is>
          <t>Ashcombe &amp; Reed</t>
        </is>
      </c>
      <c r="E100" s="92" t="s">
        <v>55</v>
      </c>
      <c r="F100" s="92" t="s">
        <v>247</v>
      </c>
      <c r="G100" s="92" t="inlineStr">
        <is>
          <t>LL-KIT-406</t>
        </is>
      </c>
      <c r="H100" s="76" t="str">
        <f>IFERROR(INDEX('Product Catalog'!$C$7:$C$22,MATCH(G100,'Product Catalog'!$B$7:$B$22,0)),"")</f>
        <v>Aska Enamelled Cast Iron Casserole</v>
      </c>
      <c r="I100" s="92" t="str">
        <f>IFERROR(INDEX('Product Catalog'!$D$7:$D$22,MATCH(G100,'Product Catalog'!$B$7:$B$22,0)),"")</f>
        <v>Kitchen &amp; Dining</v>
      </c>
      <c r="J100" s="93" t="n">
        <v>28</v>
      </c>
      <c r="K100" s="80" t="str">
        <f>IFERROR(INDEX('Regional Markets'!$D$8:$D$15,MATCH(E100,'Regional Markets'!$B$8:$B$15,0)),"")</f>
        <v>GBP</v>
      </c>
      <c r="L100" s="94">
        <f>ROUND(INDEX('Product Catalog'!$I$7:$I$22,MATCH(G100,'Product Catalog'!$B$7:$B$22,0))*INDEX('Regional Markets'!$E$8:$E$15,MATCH(E100,'Regional Markets'!$B$8:$B$15,0)),IF(K100="JPY",0,2))</f>
        <v>163.8</v>
      </c>
      <c r="M100" s="79" t="n">
        <v>0.1</v>
      </c>
      <c r="N100" s="94">
        <f>J100*L100*(1-M100)</f>
        <v>4127.76</v>
      </c>
      <c r="O100" s="78">
        <f>N100/INDEX('Regional Markets'!$E$8:$E$15,MATCH(E100,'Regional Markets'!$B$8:$B$15,0))</f>
        <v>5292</v>
      </c>
      <c r="P100" s="80" t="s">
        <v>229</v>
      </c>
      <c r="Q100" s="91" t="n">
        <v>46315</v>
      </c>
      <c r="R100" s="76" t="s">
        <v>272</v>
      </c>
    </row>
    <row r="101" ht="34.4" customHeight="true">
      <c r="B101" s="90" t="inlineStr">
        <is>
          <t>SO-26-1134</t>
        </is>
      </c>
      <c r="C101" s="91" t="n">
        <v>46286</v>
      </c>
      <c r="D101" s="76" t="inlineStr">
        <is>
          <t>Wohnhaus Berger GmbH</t>
        </is>
      </c>
      <c r="E101" s="92" t="s">
        <v>57</v>
      </c>
      <c r="F101" s="92" t="s">
        <v>253</v>
      </c>
      <c r="G101" s="92" t="inlineStr">
        <is>
          <t>LL-TXT-205</t>
        </is>
      </c>
      <c r="H101" s="76" t="str">
        <f>IFERROR(INDEX('Product Catalog'!$C$7:$C$22,MATCH(G101,'Product Catalog'!$B$7:$B$22,0)),"")</f>
        <v>Fell Merino Wool Throw</v>
      </c>
      <c r="I101" s="92" t="str">
        <f>IFERROR(INDEX('Product Catalog'!$D$7:$D$22,MATCH(G101,'Product Catalog'!$B$7:$B$22,0)),"")</f>
        <v>Textiles</v>
      </c>
      <c r="J101" s="93" t="n">
        <v>288</v>
      </c>
      <c r="K101" s="80" t="str">
        <f>IFERROR(INDEX('Regional Markets'!$D$8:$D$15,MATCH(E101,'Regional Markets'!$B$8:$B$15,0)),"")</f>
        <v>EUR</v>
      </c>
      <c r="L101" s="94">
        <f>ROUND(INDEX('Product Catalog'!$I$7:$I$22,MATCH(G101,'Product Catalog'!$B$7:$B$22,0))*INDEX('Regional Markets'!$E$8:$E$15,MATCH(E101,'Regional Markets'!$B$8:$B$15,0)),IF(K101="JPY",0,2))</f>
        <v>118.68</v>
      </c>
      <c r="M101" s="79" t="n">
        <v>0.06</v>
      </c>
      <c r="N101" s="94">
        <f>J101*L101*(1-M101)</f>
        <v>32129.0496</v>
      </c>
      <c r="O101" s="78">
        <f>N101/INDEX('Regional Markets'!$E$8:$E$15,MATCH(E101,'Regional Markets'!$B$8:$B$15,0))</f>
        <v>34922.88</v>
      </c>
      <c r="P101" s="80" t="s">
        <v>229</v>
      </c>
      <c r="Q101" s="91" t="n">
        <v>46324</v>
      </c>
      <c r="R101" s="76" t="s">
        <v>283</v>
      </c>
    </row>
    <row r="102" ht="34.4" customHeight="true">
      <c r="B102" s="90" t="inlineStr">
        <is>
          <t>SO-26-1135</t>
        </is>
      </c>
      <c r="C102" s="91" t="n">
        <v>46286</v>
      </c>
      <c r="D102" s="76" t="inlineStr">
        <is>
          <t>Ashcombe &amp; Reed</t>
        </is>
      </c>
      <c r="E102" s="92" t="s">
        <v>55</v>
      </c>
      <c r="F102" s="92" t="s">
        <v>247</v>
      </c>
      <c r="G102" s="92" t="inlineStr">
        <is>
          <t>LL-TXT-210</t>
        </is>
      </c>
      <c r="H102" s="76" t="str">
        <f>IFERROR(INDEX('Product Catalog'!$C$7:$C$22,MATCH(G102,'Product Catalog'!$B$7:$B$22,0)),"")</f>
        <v>Marlow Hand-Loomed Cushion Cover</v>
      </c>
      <c r="I102" s="92" t="str">
        <f>IFERROR(INDEX('Product Catalog'!$D$7:$D$22,MATCH(G102,'Product Catalog'!$B$7:$B$22,0)),"")</f>
        <v>Textiles</v>
      </c>
      <c r="J102" s="93" t="n">
        <v>432</v>
      </c>
      <c r="K102" s="80" t="str">
        <f>IFERROR(INDEX('Regional Markets'!$D$8:$D$15,MATCH(E102,'Regional Markets'!$B$8:$B$15,0)),"")</f>
        <v>GBP</v>
      </c>
      <c r="L102" s="94">
        <f>ROUND(INDEX('Product Catalog'!$I$7:$I$22,MATCH(G102,'Product Catalog'!$B$7:$B$22,0))*INDEX('Regional Markets'!$E$8:$E$15,MATCH(E102,'Regional Markets'!$B$8:$B$15,0)),IF(K102="JPY",0,2))</f>
        <v>30.42</v>
      </c>
      <c r="M102" s="79" t="n">
        <v>0.14</v>
      </c>
      <c r="N102" s="94">
        <f>J102*L102*(1-M102)</f>
        <v>11301.6384</v>
      </c>
      <c r="O102" s="78">
        <f>N102/INDEX('Regional Markets'!$E$8:$E$15,MATCH(E102,'Regional Markets'!$B$8:$B$15,0))</f>
        <v>14489.28</v>
      </c>
      <c r="P102" s="80" t="s">
        <v>230</v>
      </c>
      <c r="Q102" s="91" t="n">
        <v>46314</v>
      </c>
      <c r="R102" s="76" t="s">
        <v>272</v>
      </c>
    </row>
    <row r="103" ht="34.4" customHeight="true">
      <c r="B103" s="90" t="inlineStr">
        <is>
          <t>SO-26-1136</t>
        </is>
      </c>
      <c r="C103" s="91" t="n">
        <v>46293</v>
      </c>
      <c r="D103" s="76" t="inlineStr">
        <is>
          <t>Northbay Home Supply</t>
        </is>
      </c>
      <c r="E103" s="92" t="s">
        <v>54</v>
      </c>
      <c r="F103" s="92" t="s">
        <v>247</v>
      </c>
      <c r="G103" s="92" t="inlineStr">
        <is>
          <t>LL-DEC-507</t>
        </is>
      </c>
      <c r="H103" s="76" t="str">
        <f>IFERROR(INDEX('Product Catalog'!$C$7:$C$22,MATCH(G103,'Product Catalog'!$B$7:$B$22,0)),"")</f>
        <v>Tarn Wool Area Rug</v>
      </c>
      <c r="I103" s="92" t="str">
        <f>IFERROR(INDEX('Product Catalog'!$D$7:$D$22,MATCH(G103,'Product Catalog'!$B$7:$B$22,0)),"")</f>
        <v>Decor &amp; Rugs</v>
      </c>
      <c r="J103" s="93" t="n">
        <v>32</v>
      </c>
      <c r="K103" s="80" t="str">
        <f>IFERROR(INDEX('Regional Markets'!$D$8:$D$15,MATCH(E103,'Regional Markets'!$B$8:$B$15,0)),"")</f>
        <v>CAD</v>
      </c>
      <c r="L103" s="94">
        <f>ROUND(INDEX('Product Catalog'!$I$7:$I$22,MATCH(G103,'Product Catalog'!$B$7:$B$22,0))*INDEX('Regional Markets'!$E$8:$E$15,MATCH(E103,'Regional Markets'!$B$8:$B$15,0)),IF(K103="JPY",0,2))</f>
        <v>739.8</v>
      </c>
      <c r="M103" s="79" t="n">
        <v>0.09</v>
      </c>
      <c r="N103" s="94">
        <f>J103*L103*(1-M103)</f>
        <v>21542.976</v>
      </c>
      <c r="O103" s="78">
        <f>N103/INDEX('Regional Markets'!$E$8:$E$15,MATCH(E103,'Regional Markets'!$B$8:$B$15,0))</f>
        <v>15724.8</v>
      </c>
      <c r="P103" s="80" t="s">
        <v>228</v>
      </c>
      <c r="Q103" s="91" t="n">
        <v>46321</v>
      </c>
      <c r="R103" s="76" t="s">
        <v>267</v>
      </c>
    </row>
    <row r="104" ht="34.4" customHeight="true">
      <c r="B104" s="90" t="inlineStr">
        <is>
          <t>SO-26-1137</t>
        </is>
      </c>
      <c r="C104" s="91" t="n">
        <v>46293</v>
      </c>
      <c r="D104" s="76" t="inlineStr">
        <is>
          <t>Galeries Ombre</t>
        </is>
      </c>
      <c r="E104" s="92" t="s">
        <v>58</v>
      </c>
      <c r="F104" s="92" t="s">
        <v>247</v>
      </c>
      <c r="G104" s="92" t="inlineStr">
        <is>
          <t>LL-TXT-214</t>
        </is>
      </c>
      <c r="H104" s="76" t="str">
        <f>IFERROR(INDEX('Product Catalog'!$C$7:$C$22,MATCH(G104,'Product Catalog'!$B$7:$B$22,0)),"")</f>
        <v>Kesa Organic Cotton Towel Set</v>
      </c>
      <c r="I104" s="92" t="str">
        <f>IFERROR(INDEX('Product Catalog'!$D$7:$D$22,MATCH(G104,'Product Catalog'!$B$7:$B$22,0)),"")</f>
        <v>Textiles</v>
      </c>
      <c r="J104" s="93" t="n">
        <v>192</v>
      </c>
      <c r="K104" s="80" t="str">
        <f>IFERROR(INDEX('Regional Markets'!$D$8:$D$15,MATCH(E104,'Regional Markets'!$B$8:$B$15,0)),"")</f>
        <v>EUR</v>
      </c>
      <c r="L104" s="94">
        <f>ROUND(INDEX('Product Catalog'!$I$7:$I$22,MATCH(G104,'Product Catalog'!$B$7:$B$22,0))*INDEX('Regional Markets'!$E$8:$E$15,MATCH(E104,'Regional Markets'!$B$8:$B$15,0)),IF(K104="JPY",0,2))</f>
        <v>72.68</v>
      </c>
      <c r="M104" s="79" t="n">
        <v>0.13</v>
      </c>
      <c r="N104" s="94">
        <f>J104*L104*(1-M104)</f>
        <v>12140.4672</v>
      </c>
      <c r="O104" s="78">
        <f>N104/INDEX('Regional Markets'!$E$8:$E$15,MATCH(E104,'Regional Markets'!$B$8:$B$15,0))</f>
        <v>13196.16</v>
      </c>
      <c r="P104" s="80" t="s">
        <v>229</v>
      </c>
      <c r="Q104" s="91" t="n">
        <v>46316</v>
      </c>
      <c r="R104" s="76" t="s">
        <v>248</v>
      </c>
    </row>
    <row r="105" ht="34.4" customHeight="true">
      <c r="B105" s="90" t="inlineStr">
        <is>
          <t>SO-26-1138</t>
        </is>
      </c>
      <c r="C105" s="91" t="n">
        <v>46293</v>
      </c>
      <c r="D105" s="76" t="inlineStr">
        <is>
          <t>Harbor &amp; Pine Home</t>
        </is>
      </c>
      <c r="E105" s="92" t="s">
        <v>52</v>
      </c>
      <c r="F105" s="92" t="s">
        <v>253</v>
      </c>
      <c r="G105" s="92" t="inlineStr">
        <is>
          <t>LL-KIT-406</t>
        </is>
      </c>
      <c r="H105" s="76" t="str">
        <f>IFERROR(INDEX('Product Catalog'!$C$7:$C$22,MATCH(G105,'Product Catalog'!$B$7:$B$22,0)),"")</f>
        <v>Aska Enamelled Cast Iron Casserole</v>
      </c>
      <c r="I105" s="92" t="str">
        <f>IFERROR(INDEX('Product Catalog'!$D$7:$D$22,MATCH(G105,'Product Catalog'!$B$7:$B$22,0)),"")</f>
        <v>Kitchen &amp; Dining</v>
      </c>
      <c r="J105" s="93" t="n">
        <v>60</v>
      </c>
      <c r="K105" s="80" t="str">
        <f>IFERROR(INDEX('Regional Markets'!$D$8:$D$15,MATCH(E105,'Regional Markets'!$B$8:$B$15,0)),"")</f>
        <v>USD</v>
      </c>
      <c r="L105" s="94">
        <f>ROUND(INDEX('Product Catalog'!$I$7:$I$22,MATCH(G105,'Product Catalog'!$B$7:$B$22,0))*INDEX('Regional Markets'!$E$8:$E$15,MATCH(E105,'Regional Markets'!$B$8:$B$15,0)),IF(K105="JPY",0,2))</f>
        <v>210</v>
      </c>
      <c r="M105" s="79" t="n">
        <v>0.075</v>
      </c>
      <c r="N105" s="94">
        <f>J105*L105*(1-M105)</f>
        <v>11655</v>
      </c>
      <c r="O105" s="78">
        <f>N105/INDEX('Regional Markets'!$E$8:$E$15,MATCH(E105,'Regional Markets'!$B$8:$B$15,0))</f>
        <v>11655</v>
      </c>
      <c r="P105" s="80" t="s">
        <v>229</v>
      </c>
      <c r="Q105" s="91" t="n">
        <v>46322</v>
      </c>
      <c r="R105" s="76" t="s">
        <v>256</v>
      </c>
    </row>
    <row r="106" ht="34.4" customHeight="true">
      <c r="B106" s="90" t="inlineStr">
        <is>
          <t>SO-26-1139</t>
        </is>
      </c>
      <c r="C106" s="91" t="n">
        <v>46294</v>
      </c>
      <c r="D106" s="76" t="s">
        <v>244</v>
      </c>
      <c r="E106" s="92" t="s">
        <v>52</v>
      </c>
      <c r="F106" s="92" t="s">
        <v>245</v>
      </c>
      <c r="G106" s="92" t="inlineStr">
        <is>
          <t>LL-FUR-301</t>
        </is>
      </c>
      <c r="H106" s="76" t="str">
        <f>IFERROR(INDEX('Product Catalog'!$C$7:$C$22,MATCH(G106,'Product Catalog'!$B$7:$B$22,0)),"")</f>
        <v>Tove Solid Oak Dining Chair</v>
      </c>
      <c r="I106" s="92" t="str">
        <f>IFERROR(INDEX('Product Catalog'!$D$7:$D$22,MATCH(G106,'Product Catalog'!$B$7:$B$22,0)),"")</f>
        <v>Furniture</v>
      </c>
      <c r="J106" s="93" t="n">
        <v>192</v>
      </c>
      <c r="K106" s="80" t="str">
        <f>IFERROR(INDEX('Regional Markets'!$D$8:$D$15,MATCH(E106,'Regional Markets'!$B$8:$B$15,0)),"")</f>
        <v>USD</v>
      </c>
      <c r="L106" s="94">
        <f>ROUND(INDEX('Product Catalog'!$I$7:$I$22,MATCH(G106,'Product Catalog'!$B$7:$B$22,0))*INDEX('Regional Markets'!$E$8:$E$15,MATCH(E106,'Regional Markets'!$B$8:$B$15,0)),IF(K106="JPY",0,2))</f>
        <v>245</v>
      </c>
      <c r="M106" s="79" t="n">
        <v>0.16</v>
      </c>
      <c r="N106" s="94">
        <f>J106*L106*(1-M106)</f>
        <v>39513.6</v>
      </c>
      <c r="O106" s="78">
        <f>N106/INDEX('Regional Markets'!$E$8:$E$15,MATCH(E106,'Regional Markets'!$B$8:$B$15,0))</f>
        <v>39513.6</v>
      </c>
      <c r="P106" s="80" t="s">
        <v>229</v>
      </c>
      <c r="Q106" s="91" t="n">
        <v>46349</v>
      </c>
      <c r="R106" s="76" t="s">
        <v>246</v>
      </c>
    </row>
    <row r="107" ht="21.2" customHeight="true">
      <c r="B107" s="90" t="inlineStr">
        <is>
          <t>SO-26-1140</t>
        </is>
      </c>
      <c r="C107" s="91" t="n">
        <v>46294</v>
      </c>
      <c r="D107" s="76" t="inlineStr">
        <is>
          <t>Saltbush Home</t>
        </is>
      </c>
      <c r="E107" s="92" t="s">
        <v>62</v>
      </c>
      <c r="F107" s="92" t="s">
        <v>253</v>
      </c>
      <c r="G107" s="92" t="inlineStr">
        <is>
          <t>LL-FUR-316</t>
        </is>
      </c>
      <c r="H107" s="76" t="str">
        <f>IFERROR(INDEX('Product Catalog'!$C$7:$C$22,MATCH(G107,'Product Catalog'!$B$7:$B$22,0)),"")</f>
        <v>Liss Walnut Side Table</v>
      </c>
      <c r="I107" s="92" t="str">
        <f>IFERROR(INDEX('Product Catalog'!$D$7:$D$22,MATCH(G107,'Product Catalog'!$B$7:$B$22,0)),"")</f>
        <v>Furniture</v>
      </c>
      <c r="J107" s="93" t="n">
        <v>36</v>
      </c>
      <c r="K107" s="80" t="str">
        <f>IFERROR(INDEX('Regional Markets'!$D$8:$D$15,MATCH(E107,'Regional Markets'!$B$8:$B$15,0)),"")</f>
        <v>AUD</v>
      </c>
      <c r="L107" s="94">
        <f>ROUND(INDEX('Product Catalog'!$I$7:$I$22,MATCH(G107,'Product Catalog'!$B$7:$B$22,0))*INDEX('Regional Markets'!$E$8:$E$15,MATCH(E107,'Regional Markets'!$B$8:$B$15,0)),IF(K107="JPY",0,2))</f>
        <v>425.6</v>
      </c>
      <c r="M107" s="79" t="n">
        <v>0.07000000000000001</v>
      </c>
      <c r="N107" s="94">
        <f>J107*L107*(1-M107)</f>
        <v>14249.088</v>
      </c>
      <c r="O107" s="78">
        <f>N107/INDEX('Regional Markets'!$E$8:$E$15,MATCH(E107,'Regional Markets'!$B$8:$B$15,0))</f>
        <v>9374.4</v>
      </c>
      <c r="P107" s="80" t="s">
        <v>229</v>
      </c>
      <c r="Q107" s="91" t="n">
        <v>46321</v>
      </c>
      <c r="R107" s="76" t="s">
        <v>284</v>
      </c>
    </row>
  </sheetData>
  <autoFilter ref="B7:R107"/>
  <mergeCells count="1">
    <mergeCell ref="B4:R4"/>
  </mergeCells>
  <conditionalFormatting sqref="P8:P107">
    <cfRule type="expression" dxfId="5" priority="1" stopIfTrue="true">
      <formula>P8=$L$5</formula>
    </cfRule>
    <cfRule type="expression" dxfId="6" priority="2" stopIfTrue="true">
      <formula>P8=$M$5</formula>
    </cfRule>
    <cfRule type="expression" dxfId="7" priority="3" stopIfTrue="true">
      <formula>P8=$N$5</formula>
    </cfRule>
    <cfRule type="expression" dxfId="8" priority="4" stopIfTrue="true">
      <formula>P8=$O$5</formula>
    </cfRule>
    <cfRule type="expression" dxfId="9" priority="5" stopIfTrue="true">
      <formula>P8=$P$5</formula>
    </cfRule>
  </conditionalFormatting>
  <conditionalFormatting sqref="B8:O107">
    <cfRule type="expression" dxfId="10" priority="6">
      <formula>$P8=$P$5</formula>
    </cfRule>
  </conditionalFormatting>
  <conditionalFormatting sqref="L8:L107">
    <cfRule type="expression" dxfId="11" priority="7" stopIfTrue="true">
      <formula>AND($K8="JPY",MOD(ROW(),2)=0)</formula>
    </cfRule>
    <cfRule type="expression" dxfId="12" priority="8" stopIfTrue="true">
      <formula>$K8="JPY"</formula>
    </cfRule>
  </conditionalFormatting>
  <conditionalFormatting sqref="N8:N107">
    <cfRule type="expression" dxfId="11" priority="9" stopIfTrue="true">
      <formula>AND($K8="JPY",MOD(ROW(),2)=0)</formula>
    </cfRule>
    <cfRule type="expression" dxfId="12" priority="10" stopIfTrue="true">
      <formula>$K8="JPY"</formula>
    </cfRule>
  </conditionalFormatting>
  <conditionalFormatting sqref="B8:R107">
    <cfRule type="expression" dxfId="3" priority="11">
      <formula>MOD(ROW(),2)=0</formula>
    </cfRule>
  </conditionalFormatting>
  <dataValidations count="5">
    <dataValidation allowBlank="false" error="Select a delivery status from the list." errorTitle="Invalid status" showErrorMessage="true" sqref="P8:P107" type="list">
      <formula1>=$L$5:$P$5</formula1>
    </dataValidation>
    <dataValidation allowBlank="false" error="Trade discounts must be between 0% and 30%. Higher discounts require approval." errorTitle="Discount out of range" operator="between" showErrorMessage="true" sqref="M8:M107" type="decimal">
      <formula1>0</formula1>
      <formula2>0.3</formula2>
    </dataValidation>
    <dataValidation allowBlank="false" error="Enter a SKU from the Product Catalog." errorTitle="Unknown SKU" showErrorMessage="true" sqref="G8:G107" type="list">
      <formula1>='Product Catalog'!$B$7:$B$22</formula1>
    </dataValidation>
    <dataValidation allowBlank="false" error="Select a market listed on the Regional Markets sheet." errorTitle="Unknown market" showErrorMessage="true" sqref="E8:E107" type="list">
      <formula1>='Regional Markets'!$B$8:$B$15</formula1>
    </dataValidation>
    <dataValidation allowBlank="false" error="Quantity must be a whole number greater than zero." errorTitle="Invalid quantity" operator="greaterThan" showErrorMessage="true" sqref="J8:J107" type="whole">
      <formula1>0</formula1>
    </dataValidation>
  </dataValidations>
  <pageMargins left="0.4" right="0.4" top="0.5" bottom="0.5" header="0.5" footer="0.5"/>
  <pageSetup fitToHeight="0" fitToWidth="1" orientation="landscape" paperSize="9"/>
  <headerFooter>
    <oddFooter>&amp;L&amp;8 Linden &amp; Loom · Global Sales &amp; Operations Report FY2026&amp;R&amp;8 &amp;A ·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003F7A5F"/>
    <outlinePr summaryBelow="true" summaryRight="true"/>
    <pageSetUpPr fitToPage="true"/>
  </sheetPr>
  <dimension ref="A1:X49"/>
  <sheetViews>
    <sheetView showGridLines="false" workbookViewId="0">
      <selection activeCell="A1" sqref="A1"/>
    </sheetView>
  </sheetViews>
  <sheetFormatPr baseColWidth="8" defaultRowHeight="15"/>
  <cols>
    <col customWidth="true" max="1" min="1" width="2.5"/>
    <col customWidth="true" max="2" min="2" width="13"/>
    <col customWidth="true" max="3" min="3" width="30"/>
    <col customWidth="true" max="4" min="4" width="16"/>
    <col customWidth="true" max="5" min="5" width="14"/>
    <col customWidth="true" max="6" min="6" width="10"/>
    <col customWidth="true" max="9" min="7" width="11"/>
    <col customWidth="true" max="10" min="10" width="12"/>
    <col customWidth="true" max="12" min="11" width="10"/>
    <col customWidth="true" max="13" min="13" width="11"/>
    <col customWidth="true" max="14" min="14" width="12"/>
    <col customWidth="true" max="15" min="15" width="10"/>
    <col customWidth="true" max="16" min="16" width="9"/>
    <col customWidth="true" max="17" min="17" width="12"/>
    <col customWidth="true" max="18" min="18" width="14"/>
    <col customWidth="true" max="19" min="19" width="15"/>
    <col customWidth="true" max="20" min="20" width="46"/>
    <col customWidth="true" max="21" min="21" width="2.5"/>
    <col customWidth="true" hidden="true" max="22" min="22" width="13"/>
    <col customWidth="true" hidden="true" max="24" min="23" width="12"/>
  </cols>
  <sheetData>
    <row r="1" ht="7" customHeight="true">
      <c r="A1" s="1" t="n"/>
      <c r="B1" s="1" t="n"/>
      <c r="C1" s="1" t="n"/>
      <c r="D1" s="1" t="n"/>
      <c r="E1" s="1" t="n"/>
      <c r="F1" s="1" t="n"/>
      <c r="G1" s="1" t="n"/>
      <c r="H1" s="1" t="n"/>
      <c r="I1" s="1" t="n"/>
      <c r="J1" s="1" t="n"/>
      <c r="K1" s="1" t="n"/>
      <c r="L1" s="1" t="n"/>
      <c r="M1" s="1" t="n"/>
      <c r="N1" s="1" t="n"/>
      <c r="O1" s="1" t="n"/>
      <c r="P1" s="1" t="n"/>
      <c r="Q1" s="1" t="n"/>
      <c r="R1" s="1" t="n"/>
      <c r="S1" s="1" t="n"/>
      <c r="T1" s="1" t="n"/>
      <c r="U1" s="1" t="n"/>
    </row>
    <row r="2" ht="22" customHeight="true">
      <c r="B2" s="53" t="s">
        <v>38</v>
      </c>
    </row>
    <row r="3" ht="32" customHeight="true">
      <c r="B3" s="54" t="s">
        <v>285</v>
      </c>
    </row>
    <row r="4" ht="30" customHeight="true">
      <c r="B4" s="55" t="s">
        <v>286</v>
      </c>
    </row>
    <row r="5" ht="10" customHeight="true"/>
    <row r="6" ht="22" customHeight="true">
      <c r="B6" s="95" t="s">
        <v>287</v>
      </c>
      <c r="C6" s="96" t="n"/>
      <c r="D6" s="95" t="s">
        <v>288</v>
      </c>
      <c r="E6" s="96" t="n"/>
      <c r="F6" s="95" t="s">
        <v>289</v>
      </c>
      <c r="G6" s="97" t="n"/>
      <c r="H6" s="96" t="n"/>
      <c r="I6" s="95" t="s">
        <v>290</v>
      </c>
      <c r="J6" s="97" t="n"/>
      <c r="K6" s="97" t="n"/>
      <c r="L6" s="96" t="n"/>
      <c r="N6" s="98" t="s">
        <v>291</v>
      </c>
      <c r="O6" s="99" t="n"/>
      <c r="P6" s="99" t="n"/>
      <c r="Q6" s="99" t="n"/>
      <c r="R6" s="100" t="n">
        <v>9</v>
      </c>
      <c r="S6" s="101" t="s">
        <v>292</v>
      </c>
    </row>
    <row r="7" ht="30" customHeight="true">
      <c r="B7" s="102">
        <f>SUMPRODUCT(F13:F28,SUMIF('Product Catalog'!$B$7:$B$22,B13:B28,'Product Catalog'!$J$7:$J$22))</f>
        <v>439537</v>
      </c>
      <c r="C7" s="103" t="n"/>
      <c r="D7" s="104">
        <f>G29</f>
        <v>1496</v>
      </c>
      <c r="E7" s="103" t="n"/>
      <c r="F7" s="105">
        <f>COUNTIF(S13:S28,$R$11)+COUNTIF(S13:S28,$S$11)</f>
        <v>4</v>
      </c>
      <c r="H7" s="103" t="n"/>
      <c r="I7" s="102">
        <f>R29</f>
        <v>66460</v>
      </c>
      <c r="L7" s="103" t="n"/>
      <c r="N7" s="98" t="s">
        <v>293</v>
      </c>
      <c r="O7" s="99" t="n"/>
      <c r="P7" s="99" t="n"/>
      <c r="Q7" s="99" t="n"/>
      <c r="R7" s="100" t="n">
        <v>60</v>
      </c>
    </row>
    <row r="8" ht="22" customHeight="true">
      <c r="B8" s="106">
        <f>SUM(F13:F28)</f>
        <v>7640</v>
      </c>
      <c r="C8" s="103" t="n"/>
      <c r="D8" s="107">
        <f>IFERROR(G29/F29,0)</f>
        <v>0.195811518324607</v>
      </c>
      <c r="E8" s="103" t="n"/>
      <c r="F8" s="108">
        <f>COUNTIF(S13:S28,$S$11)</f>
        <v>1</v>
      </c>
      <c r="H8" s="103" t="n"/>
      <c r="I8" s="109">
        <f>Q29</f>
        <v>1634</v>
      </c>
      <c r="L8" s="103" t="n"/>
      <c r="N8" s="98" t="s">
        <v>294</v>
      </c>
      <c r="O8" s="99" t="n"/>
      <c r="P8" s="99" t="n"/>
      <c r="Q8" s="99" t="n"/>
      <c r="R8" s="110" t="n">
        <v>0.25</v>
      </c>
    </row>
    <row r="9" ht="8" customHeight="true"/>
    <row r="10" ht="12" customHeight="true"/>
    <row r="11" ht="24" customHeight="true">
      <c r="B11" s="21" t="s">
        <v>295</v>
      </c>
      <c r="C11" s="22" t="n"/>
      <c r="D11" s="22" t="n"/>
      <c r="E11" s="22" t="n"/>
      <c r="F11" s="22" t="n"/>
      <c r="G11" s="22" t="n"/>
      <c r="H11" s="22" t="n"/>
      <c r="I11" s="22" t="n"/>
      <c r="J11" s="22" t="n"/>
      <c r="K11" s="22" t="n"/>
      <c r="L11" s="22" t="n"/>
      <c r="M11" s="22" t="n"/>
      <c r="N11" s="22" t="n"/>
      <c r="O11" s="3" t="s">
        <v>226</v>
      </c>
      <c r="P11" s="85" t="s">
        <v>296</v>
      </c>
      <c r="Q11" s="87" t="s">
        <v>297</v>
      </c>
      <c r="R11" s="88" t="s">
        <v>298</v>
      </c>
      <c r="S11" s="111" t="s">
        <v>299</v>
      </c>
    </row>
    <row r="12" ht="44" customHeight="true">
      <c r="B12" s="56" t="inlineStr">
        <is>
          <t>SKU</t>
        </is>
      </c>
      <c r="C12" s="56" t="s">
        <v>235</v>
      </c>
      <c r="D12" s="56" t="s">
        <v>21</v>
      </c>
      <c r="E12" s="56" t="s">
        <v>300</v>
      </c>
      <c r="F12" s="56" t="s">
        <v>301</v>
      </c>
      <c r="G12" s="56" t="s">
        <v>302</v>
      </c>
      <c r="H12" s="56" t="s">
        <v>303</v>
      </c>
      <c r="I12" s="56" t="s">
        <v>304</v>
      </c>
      <c r="J12" s="56" t="s">
        <v>305</v>
      </c>
      <c r="K12" s="56" t="s">
        <v>306</v>
      </c>
      <c r="L12" s="56" t="s">
        <v>307</v>
      </c>
      <c r="M12" s="56" t="s">
        <v>308</v>
      </c>
      <c r="N12" s="56" t="s">
        <v>309</v>
      </c>
      <c r="O12" s="56" t="s">
        <v>310</v>
      </c>
      <c r="P12" s="56" t="s">
        <v>311</v>
      </c>
      <c r="Q12" s="56" t="s">
        <v>312</v>
      </c>
      <c r="R12" s="56" t="s">
        <v>313</v>
      </c>
      <c r="S12" s="56" t="s">
        <v>314</v>
      </c>
      <c r="T12" s="56" t="s">
        <v>315</v>
      </c>
      <c r="V12" s="112" t="s">
        <v>316</v>
      </c>
      <c r="W12" s="112" t="s">
        <v>310</v>
      </c>
      <c r="X12" s="112" t="s">
        <v>317</v>
      </c>
    </row>
    <row r="13" ht="47.6" customHeight="true">
      <c r="B13" s="90" t="inlineStr">
        <is>
          <t>LL-LGT-101</t>
        </is>
      </c>
      <c r="C13" s="76" t="str">
        <f>IFERROR(INDEX('Product Catalog'!$C$7:$C$22,MATCH(B13,'Product Catalog'!$B$7:$B$22,0)),"")</f>
        <v>Halden Linen Pendant Lamp</v>
      </c>
      <c r="D13" s="92" t="str">
        <f>IFERROR(INDEX('Product Catalog'!$D$7:$D$22,MATCH(B13,'Product Catalog'!$B$7:$B$22,0)),"")</f>
        <v>Lighting</v>
      </c>
      <c r="E13" s="92" t="s">
        <v>318</v>
      </c>
      <c r="F13" s="113" t="n">
        <v>60</v>
      </c>
      <c r="G13" s="93">
        <f>SUMIFS('International Orders'!$J$8:$J$107,'International Orders'!$G$8:$G$107,$B13,'International Orders'!$P$8:$P$107,'International Orders'!$N$5)+SUMIFS('International Orders'!$J$8:$J$107,'International Orders'!$G$8:$G$107,$B13,'International Orders'!$P$8:$P$107,'International Orders'!$O$5)</f>
        <v>0</v>
      </c>
      <c r="H13" s="114">
        <f>F13-G13</f>
        <v>60</v>
      </c>
      <c r="I13" s="113" t="n">
        <v>0</v>
      </c>
      <c r="J13" s="93">
        <f>SUMIFS('International Orders'!$J$8:$J$107,'International Orders'!$G$8:$G$107,$B13,'International Orders'!$P$8:$P$107,"&lt;&gt;"&amp;'International Orders'!$P$5)/$R$6</f>
        <v>10.6666666666667</v>
      </c>
      <c r="K13" s="113" t="n">
        <v>56</v>
      </c>
      <c r="L13" s="113" t="n">
        <v>21</v>
      </c>
      <c r="M13" s="93">
        <f>ROUND(J13/30*(K13+L13),0)</f>
        <v>27</v>
      </c>
      <c r="N13" s="93">
        <f>H13+I13</f>
        <v>60</v>
      </c>
      <c r="O13" s="115">
        <f>IFERROR(N13/(J13/30),0)</f>
        <v>168.75</v>
      </c>
      <c r="P13" s="113" t="n">
        <v>24</v>
      </c>
      <c r="Q13" s="116">
        <f>IF(OR(H13&lt;=0,N13&lt;=M13),ROUNDUP((M13+J13/30*$R$7-N13)/P13,0)*P13,0)</f>
        <v>0</v>
      </c>
      <c r="R13" s="117">
        <f>Q13*IFERROR(INDEX('Product Catalog'!$J$7:$J$22,MATCH(B13,'Product Catalog'!$B$7:$B$22,0)),0)</f>
        <v>0</v>
      </c>
      <c r="S13" s="80" t="str">
        <f>IF(H13&lt;=0,$S$11,IF(N13&lt;=M13,$R$11,IF(N13&lt;=M13*(1+$R$8),$Q$11,$P$11)))</f>
        <v>Healthy</v>
      </c>
      <c r="T13" s="76" t="s">
        <v>319</v>
      </c>
      <c r="V13" s="118" t="str">
        <f>B13</f>
        <v>LL-LGT-101</v>
      </c>
      <c r="W13" s="119">
        <f>MIN(O13,240)</f>
        <v>168.75</v>
      </c>
      <c r="X13" s="119">
        <f>K13+L13</f>
        <v>77</v>
      </c>
    </row>
    <row r="14" ht="47.6" customHeight="true">
      <c r="B14" s="90" t="inlineStr">
        <is>
          <t>LL-LGT-104</t>
        </is>
      </c>
      <c r="C14" s="76" t="str">
        <f>IFERROR(INDEX('Product Catalog'!$C$7:$C$22,MATCH(B14,'Product Catalog'!$B$7:$B$22,0)),"")</f>
        <v>Sora Ceramic Table Lamp</v>
      </c>
      <c r="D14" s="92" t="str">
        <f>IFERROR(INDEX('Product Catalog'!$D$7:$D$22,MATCH(B14,'Product Catalog'!$B$7:$B$22,0)),"")</f>
        <v>Lighting</v>
      </c>
      <c r="E14" s="92" t="s">
        <v>318</v>
      </c>
      <c r="F14" s="113" t="n">
        <v>613</v>
      </c>
      <c r="G14" s="93">
        <f>SUMIFS('International Orders'!$J$8:$J$107,'International Orders'!$G$8:$G$107,$B14,'International Orders'!$P$8:$P$107,'International Orders'!$N$5)+SUMIFS('International Orders'!$J$8:$J$107,'International Orders'!$G$8:$G$107,$B14,'International Orders'!$P$8:$P$107,'International Orders'!$O$5)</f>
        <v>0</v>
      </c>
      <c r="H14" s="114">
        <f>F14-G14</f>
        <v>613</v>
      </c>
      <c r="I14" s="113" t="n">
        <v>0</v>
      </c>
      <c r="J14" s="93">
        <f>SUMIFS('International Orders'!$J$8:$J$107,'International Orders'!$G$8:$G$107,$B14,'International Orders'!$P$8:$P$107,"&lt;&gt;"&amp;'International Orders'!$P$5)/$R$6</f>
        <v>194.888888888889</v>
      </c>
      <c r="K14" s="113" t="n">
        <v>63</v>
      </c>
      <c r="L14" s="113" t="n">
        <v>21</v>
      </c>
      <c r="M14" s="93">
        <f>ROUND(J14/30*(K14+L14),0)</f>
        <v>546</v>
      </c>
      <c r="N14" s="93">
        <f>H14+I14</f>
        <v>613</v>
      </c>
      <c r="O14" s="115">
        <f>IFERROR(N14/(J14/30),0)</f>
        <v>94.3614595210946</v>
      </c>
      <c r="P14" s="113" t="n">
        <v>24</v>
      </c>
      <c r="Q14" s="116">
        <f>IF(OR(H14&lt;=0,N14&lt;=M14),ROUNDUP((M14+J14/30*$R$7-N14)/P14,0)*P14,0)</f>
        <v>0</v>
      </c>
      <c r="R14" s="117">
        <f>Q14*IFERROR(INDEX('Product Catalog'!$J$7:$J$22,MATCH(B14,'Product Catalog'!$B$7:$B$22,0)),0)</f>
        <v>0</v>
      </c>
      <c r="S14" s="80" t="str">
        <f>IF(H14&lt;=0,$S$11,IF(N14&lt;=M14,$R$11,IF(N14&lt;=M14*(1+$R$8),$Q$11,$P$11)))</f>
        <v>Watch</v>
      </c>
      <c r="T14" s="76" t="s">
        <v>320</v>
      </c>
      <c r="V14" s="118" t="str">
        <f>B14</f>
        <v>LL-LGT-104</v>
      </c>
      <c r="W14" s="119">
        <f>MIN(O14,240)</f>
        <v>94.3614595210946</v>
      </c>
      <c r="X14" s="119">
        <f>K14+L14</f>
        <v>84</v>
      </c>
    </row>
    <row r="15" ht="47.6" customHeight="true">
      <c r="B15" s="90" t="inlineStr">
        <is>
          <t>LL-LGT-112</t>
        </is>
      </c>
      <c r="C15" s="76" t="str">
        <f>IFERROR(INDEX('Product Catalog'!$C$7:$C$22,MATCH(B15,'Product Catalog'!$B$7:$B$22,0)),"")</f>
        <v>Vik Brass Floor Lamp</v>
      </c>
      <c r="D15" s="92" t="str">
        <f>IFERROR(INDEX('Product Catalog'!$D$7:$D$22,MATCH(B15,'Product Catalog'!$B$7:$B$22,0)),"")</f>
        <v>Lighting</v>
      </c>
      <c r="E15" s="92" t="s">
        <v>321</v>
      </c>
      <c r="F15" s="113" t="n">
        <v>86</v>
      </c>
      <c r="G15" s="93">
        <f>SUMIFS('International Orders'!$J$8:$J$107,'International Orders'!$G$8:$G$107,$B15,'International Orders'!$P$8:$P$107,'International Orders'!$N$5)+SUMIFS('International Orders'!$J$8:$J$107,'International Orders'!$G$8:$G$107,$B15,'International Orders'!$P$8:$P$107,'International Orders'!$O$5)</f>
        <v>0</v>
      </c>
      <c r="H15" s="114">
        <f>F15-G15</f>
        <v>86</v>
      </c>
      <c r="I15" s="113" t="n">
        <v>0</v>
      </c>
      <c r="J15" s="93">
        <f>SUMIFS('International Orders'!$J$8:$J$107,'International Orders'!$G$8:$G$107,$B15,'International Orders'!$P$8:$P$107,"&lt;&gt;"&amp;'International Orders'!$P$5)/$R$6</f>
        <v>14.6666666666667</v>
      </c>
      <c r="K15" s="113" t="n">
        <v>70</v>
      </c>
      <c r="L15" s="113" t="n">
        <v>21</v>
      </c>
      <c r="M15" s="93">
        <f>ROUND(J15/30*(K15+L15),0)</f>
        <v>44</v>
      </c>
      <c r="N15" s="93">
        <f>H15+I15</f>
        <v>86</v>
      </c>
      <c r="O15" s="115">
        <f>IFERROR(N15/(J15/30),0)</f>
        <v>175.909090909091</v>
      </c>
      <c r="P15" s="113" t="n">
        <v>12</v>
      </c>
      <c r="Q15" s="116">
        <f>IF(OR(H15&lt;=0,N15&lt;=M15),ROUNDUP((M15+J15/30*$R$7-N15)/P15,0)*P15,0)</f>
        <v>0</v>
      </c>
      <c r="R15" s="117">
        <f>Q15*IFERROR(INDEX('Product Catalog'!$J$7:$J$22,MATCH(B15,'Product Catalog'!$B$7:$B$22,0)),0)</f>
        <v>0</v>
      </c>
      <c r="S15" s="80" t="str">
        <f>IF(H15&lt;=0,$S$11,IF(N15&lt;=M15,$R$11,IF(N15&lt;=M15*(1+$R$8),$Q$11,$P$11)))</f>
        <v>Healthy</v>
      </c>
      <c r="T15" s="76" t="s">
        <v>322</v>
      </c>
      <c r="V15" s="118" t="str">
        <f>B15</f>
        <v>LL-LGT-112</v>
      </c>
      <c r="W15" s="119">
        <f>MIN(O15,240)</f>
        <v>175.909090909091</v>
      </c>
      <c r="X15" s="119">
        <f>K15+L15</f>
        <v>91</v>
      </c>
    </row>
    <row r="16" ht="47.6" customHeight="true">
      <c r="B16" s="90" t="inlineStr">
        <is>
          <t>LL-TXT-201</t>
        </is>
      </c>
      <c r="C16" s="76" t="str">
        <f>IFERROR(INDEX('Product Catalog'!$C$7:$C$22,MATCH(B16,'Product Catalog'!$B$7:$B$22,0)),"")</f>
        <v>Arden Stonewashed Linen Duvet Set</v>
      </c>
      <c r="D16" s="92" t="str">
        <f>IFERROR(INDEX('Product Catalog'!$D$7:$D$22,MATCH(B16,'Product Catalog'!$B$7:$B$22,0)),"")</f>
        <v>Textiles</v>
      </c>
      <c r="E16" s="92" t="s">
        <v>318</v>
      </c>
      <c r="F16" s="113" t="n">
        <v>9</v>
      </c>
      <c r="G16" s="93">
        <f>SUMIFS('International Orders'!$J$8:$J$107,'International Orders'!$G$8:$G$107,$B16,'International Orders'!$P$8:$P$107,'International Orders'!$N$5)+SUMIFS('International Orders'!$J$8:$J$107,'International Orders'!$G$8:$G$107,$B16,'International Orders'!$P$8:$P$107,'International Orders'!$O$5)</f>
        <v>0</v>
      </c>
      <c r="H16" s="114">
        <f>F16-G16</f>
        <v>9</v>
      </c>
      <c r="I16" s="113" t="n">
        <v>0</v>
      </c>
      <c r="J16" s="93">
        <f>SUMIFS('International Orders'!$J$8:$J$107,'International Orders'!$G$8:$G$107,$B16,'International Orders'!$P$8:$P$107,"&lt;&gt;"&amp;'International Orders'!$P$5)/$R$6</f>
        <v>5.77777777777778</v>
      </c>
      <c r="K16" s="113" t="n">
        <v>49</v>
      </c>
      <c r="L16" s="113" t="n">
        <v>14</v>
      </c>
      <c r="M16" s="93">
        <f>ROUND(J16/30*(K16+L16),0)</f>
        <v>12</v>
      </c>
      <c r="N16" s="93">
        <f>H16+I16</f>
        <v>9</v>
      </c>
      <c r="O16" s="115">
        <f>IFERROR(N16/(J16/30),0)</f>
        <v>46.7307692307692</v>
      </c>
      <c r="P16" s="113" t="n">
        <v>48</v>
      </c>
      <c r="Q16" s="116">
        <f>IF(OR(H16&lt;=0,N16&lt;=M16),ROUNDUP((M16+J16/30*$R$7-N16)/P16,0)*P16,0)</f>
        <v>48</v>
      </c>
      <c r="R16" s="117">
        <f>Q16*IFERROR(INDEX('Product Catalog'!$J$7:$J$22,MATCH(B16,'Product Catalog'!$B$7:$B$22,0)),0)</f>
        <v>3936</v>
      </c>
      <c r="S16" s="80" t="str">
        <f>IF(H16&lt;=0,$S$11,IF(N16&lt;=M16,$R$11,IF(N16&lt;=M16*(1+$R$8),$Q$11,$P$11)))</f>
        <v>Reorder now</v>
      </c>
      <c r="T16" s="76" t="s">
        <v>323</v>
      </c>
      <c r="V16" s="118" t="str">
        <f>B16</f>
        <v>LL-TXT-201</v>
      </c>
      <c r="W16" s="119">
        <f>MIN(O16,240)</f>
        <v>46.7307692307692</v>
      </c>
      <c r="X16" s="119">
        <f>K16+L16</f>
        <v>63</v>
      </c>
    </row>
    <row r="17" ht="34.4" customHeight="true">
      <c r="B17" s="90" t="inlineStr">
        <is>
          <t>LL-TXT-205</t>
        </is>
      </c>
      <c r="C17" s="76" t="str">
        <f>IFERROR(INDEX('Product Catalog'!$C$7:$C$22,MATCH(B17,'Product Catalog'!$B$7:$B$22,0)),"")</f>
        <v>Fell Merino Wool Throw</v>
      </c>
      <c r="D17" s="92" t="str">
        <f>IFERROR(INDEX('Product Catalog'!$D$7:$D$22,MATCH(B17,'Product Catalog'!$B$7:$B$22,0)),"")</f>
        <v>Textiles</v>
      </c>
      <c r="E17" s="92" t="s">
        <v>318</v>
      </c>
      <c r="F17" s="113" t="n">
        <v>1370</v>
      </c>
      <c r="G17" s="93">
        <f>SUMIFS('International Orders'!$J$8:$J$107,'International Orders'!$G$8:$G$107,$B17,'International Orders'!$P$8:$P$107,'International Orders'!$N$5)+SUMIFS('International Orders'!$J$8:$J$107,'International Orders'!$G$8:$G$107,$B17,'International Orders'!$P$8:$P$107,'International Orders'!$O$5)</f>
        <v>456</v>
      </c>
      <c r="H17" s="114">
        <f>F17-G17</f>
        <v>914</v>
      </c>
      <c r="I17" s="113" t="n">
        <v>240</v>
      </c>
      <c r="J17" s="93">
        <f>SUMIFS('International Orders'!$J$8:$J$107,'International Orders'!$G$8:$G$107,$B17,'International Orders'!$P$8:$P$107,"&lt;&gt;"&amp;'International Orders'!$P$5)/$R$6</f>
        <v>309.777777777778</v>
      </c>
      <c r="K17" s="113" t="n">
        <v>42</v>
      </c>
      <c r="L17" s="113" t="n">
        <v>14</v>
      </c>
      <c r="M17" s="93">
        <f>ROUND(J17/30*(K17+L17),0)</f>
        <v>578</v>
      </c>
      <c r="N17" s="93">
        <f>H17+I17</f>
        <v>1154</v>
      </c>
      <c r="O17" s="115">
        <f>IFERROR(N17/(J17/30),0)</f>
        <v>111.757532281205</v>
      </c>
      <c r="P17" s="113" t="n">
        <v>36</v>
      </c>
      <c r="Q17" s="116">
        <f>IF(OR(H17&lt;=0,N17&lt;=M17),ROUNDUP((M17+J17/30*$R$7-N17)/P17,0)*P17,0)</f>
        <v>0</v>
      </c>
      <c r="R17" s="117">
        <f>Q17*IFERROR(INDEX('Product Catalog'!$J$7:$J$22,MATCH(B17,'Product Catalog'!$B$7:$B$22,0)),0)</f>
        <v>0</v>
      </c>
      <c r="S17" s="80" t="str">
        <f>IF(H17&lt;=0,$S$11,IF(N17&lt;=M17,$R$11,IF(N17&lt;=M17*(1+$R$8),$Q$11,$P$11)))</f>
        <v>Healthy</v>
      </c>
      <c r="T17" s="76" t="s">
        <v>324</v>
      </c>
      <c r="V17" s="118" t="str">
        <f>B17</f>
        <v>LL-TXT-205</v>
      </c>
      <c r="W17" s="119">
        <f>MIN(O17,240)</f>
        <v>111.757532281205</v>
      </c>
      <c r="X17" s="119">
        <f>K17+L17</f>
        <v>56</v>
      </c>
    </row>
    <row r="18" ht="47.6" customHeight="true">
      <c r="B18" s="90" t="inlineStr">
        <is>
          <t>LL-TXT-210</t>
        </is>
      </c>
      <c r="C18" s="76" t="str">
        <f>IFERROR(INDEX('Product Catalog'!$C$7:$C$22,MATCH(B18,'Product Catalog'!$B$7:$B$22,0)),"")</f>
        <v>Marlow Hand-Loomed Cushion Cover</v>
      </c>
      <c r="D18" s="92" t="str">
        <f>IFERROR(INDEX('Product Catalog'!$D$7:$D$22,MATCH(B18,'Product Catalog'!$B$7:$B$22,0)),"")</f>
        <v>Textiles</v>
      </c>
      <c r="E18" s="92" t="s">
        <v>318</v>
      </c>
      <c r="F18" s="113" t="n">
        <v>1048</v>
      </c>
      <c r="G18" s="93">
        <f>SUMIFS('International Orders'!$J$8:$J$107,'International Orders'!$G$8:$G$107,$B18,'International Orders'!$P$8:$P$107,'International Orders'!$N$5)+SUMIFS('International Orders'!$J$8:$J$107,'International Orders'!$G$8:$G$107,$B18,'International Orders'!$P$8:$P$107,'International Orders'!$O$5)</f>
        <v>432</v>
      </c>
      <c r="H18" s="114">
        <f>F18-G18</f>
        <v>616</v>
      </c>
      <c r="I18" s="113" t="n">
        <v>0</v>
      </c>
      <c r="J18" s="93">
        <f>SUMIFS('International Orders'!$J$8:$J$107,'International Orders'!$G$8:$G$107,$B18,'International Orders'!$P$8:$P$107,"&lt;&gt;"&amp;'International Orders'!$P$5)/$R$6</f>
        <v>366.888888888889</v>
      </c>
      <c r="K18" s="113" t="n">
        <v>56</v>
      </c>
      <c r="L18" s="113" t="n">
        <v>14</v>
      </c>
      <c r="M18" s="93">
        <f>ROUND(J18/30*(K18+L18),0)</f>
        <v>856</v>
      </c>
      <c r="N18" s="93">
        <f>H18+I18</f>
        <v>616</v>
      </c>
      <c r="O18" s="115">
        <f>IFERROR(N18/(J18/30),0)</f>
        <v>50.3694730466384</v>
      </c>
      <c r="P18" s="113" t="n">
        <v>120</v>
      </c>
      <c r="Q18" s="116">
        <f>IF(OR(H18&lt;=0,N18&lt;=M18),ROUNDUP((M18+J18/30*$R$7-N18)/P18,0)*P18,0)</f>
        <v>1080</v>
      </c>
      <c r="R18" s="117">
        <f>Q18*IFERROR(INDEX('Product Catalog'!$J$7:$J$22,MATCH(B18,'Product Catalog'!$B$7:$B$22,0)),0)</f>
        <v>14040</v>
      </c>
      <c r="S18" s="80" t="str">
        <f>IF(H18&lt;=0,$S$11,IF(N18&lt;=M18,$R$11,IF(N18&lt;=M18*(1+$R$8),$Q$11,$P$11)))</f>
        <v>Reorder now</v>
      </c>
      <c r="T18" s="76" t="s">
        <v>325</v>
      </c>
      <c r="V18" s="118" t="str">
        <f>B18</f>
        <v>LL-TXT-210</v>
      </c>
      <c r="W18" s="119">
        <f>MIN(O18,240)</f>
        <v>50.3694730466384</v>
      </c>
      <c r="X18" s="119">
        <f>K18+L18</f>
        <v>70</v>
      </c>
    </row>
    <row r="19" ht="34.4" customHeight="true">
      <c r="B19" s="90" t="inlineStr">
        <is>
          <t>LL-TXT-214</t>
        </is>
      </c>
      <c r="C19" s="76" t="str">
        <f>IFERROR(INDEX('Product Catalog'!$C$7:$C$22,MATCH(B19,'Product Catalog'!$B$7:$B$22,0)),"")</f>
        <v>Kesa Organic Cotton Towel Set</v>
      </c>
      <c r="D19" s="92" t="str">
        <f>IFERROR(INDEX('Product Catalog'!$D$7:$D$22,MATCH(B19,'Product Catalog'!$B$7:$B$22,0)),"")</f>
        <v>Textiles</v>
      </c>
      <c r="E19" s="92" t="s">
        <v>318</v>
      </c>
      <c r="F19" s="113" t="n">
        <v>737</v>
      </c>
      <c r="G19" s="93">
        <f>SUMIFS('International Orders'!$J$8:$J$107,'International Orders'!$G$8:$G$107,$B19,'International Orders'!$P$8:$P$107,'International Orders'!$N$5)+SUMIFS('International Orders'!$J$8:$J$107,'International Orders'!$G$8:$G$107,$B19,'International Orders'!$P$8:$P$107,'International Orders'!$O$5)</f>
        <v>192</v>
      </c>
      <c r="H19" s="114">
        <f>F19-G19</f>
        <v>545</v>
      </c>
      <c r="I19" s="113" t="n">
        <v>0</v>
      </c>
      <c r="J19" s="93">
        <f>SUMIFS('International Orders'!$J$8:$J$107,'International Orders'!$G$8:$G$107,$B19,'International Orders'!$P$8:$P$107,"&lt;&gt;"&amp;'International Orders'!$P$5)/$R$6</f>
        <v>172.666666666667</v>
      </c>
      <c r="K19" s="113" t="n">
        <v>45</v>
      </c>
      <c r="L19" s="113" t="n">
        <v>14</v>
      </c>
      <c r="M19" s="93">
        <f>ROUND(J19/30*(K19+L19),0)</f>
        <v>340</v>
      </c>
      <c r="N19" s="93">
        <f>H19+I19</f>
        <v>545</v>
      </c>
      <c r="O19" s="115">
        <f>IFERROR(N19/(J19/30),0)</f>
        <v>94.6911196911197</v>
      </c>
      <c r="P19" s="113" t="n">
        <v>60</v>
      </c>
      <c r="Q19" s="116">
        <f>IF(OR(H19&lt;=0,N19&lt;=M19),ROUNDUP((M19+J19/30*$R$7-N19)/P19,0)*P19,0)</f>
        <v>0</v>
      </c>
      <c r="R19" s="117">
        <f>Q19*IFERROR(INDEX('Product Catalog'!$J$7:$J$22,MATCH(B19,'Product Catalog'!$B$7:$B$22,0)),0)</f>
        <v>0</v>
      </c>
      <c r="S19" s="80" t="str">
        <f>IF(H19&lt;=0,$S$11,IF(N19&lt;=M19,$R$11,IF(N19&lt;=M19*(1+$R$8),$Q$11,$P$11)))</f>
        <v>Healthy</v>
      </c>
      <c r="T19" s="76" t="s">
        <v>326</v>
      </c>
      <c r="V19" s="118" t="str">
        <f>B19</f>
        <v>LL-TXT-214</v>
      </c>
      <c r="W19" s="119">
        <f>MIN(O19,240)</f>
        <v>94.6911196911197</v>
      </c>
      <c r="X19" s="119">
        <f>K19+L19</f>
        <v>59</v>
      </c>
    </row>
    <row r="20" ht="60.8" customHeight="true">
      <c r="B20" s="90" t="inlineStr">
        <is>
          <t>LL-FUR-301</t>
        </is>
      </c>
      <c r="C20" s="76" t="str">
        <f>IFERROR(INDEX('Product Catalog'!$C$7:$C$22,MATCH(B20,'Product Catalog'!$B$7:$B$22,0)),"")</f>
        <v>Tove Solid Oak Dining Chair</v>
      </c>
      <c r="D20" s="92" t="str">
        <f>IFERROR(INDEX('Product Catalog'!$D$7:$D$22,MATCH(B20,'Product Catalog'!$B$7:$B$22,0)),"")</f>
        <v>Furniture</v>
      </c>
      <c r="E20" s="92" t="s">
        <v>318</v>
      </c>
      <c r="F20" s="113" t="n">
        <v>115</v>
      </c>
      <c r="G20" s="93">
        <f>SUMIFS('International Orders'!$J$8:$J$107,'International Orders'!$G$8:$G$107,$B20,'International Orders'!$P$8:$P$107,'International Orders'!$N$5)+SUMIFS('International Orders'!$J$8:$J$107,'International Orders'!$G$8:$G$107,$B20,'International Orders'!$P$8:$P$107,'International Orders'!$O$5)</f>
        <v>192</v>
      </c>
      <c r="H20" s="114">
        <f>F20-G20</f>
        <v>-77</v>
      </c>
      <c r="I20" s="113" t="n">
        <v>48</v>
      </c>
      <c r="J20" s="93">
        <f>SUMIFS('International Orders'!$J$8:$J$107,'International Orders'!$G$8:$G$107,$B20,'International Orders'!$P$8:$P$107,"&lt;&gt;"&amp;'International Orders'!$P$5)/$R$6</f>
        <v>69.1111111111111</v>
      </c>
      <c r="K20" s="113" t="n">
        <v>84</v>
      </c>
      <c r="L20" s="113" t="n">
        <v>21</v>
      </c>
      <c r="M20" s="93">
        <f>ROUND(J20/30*(K20+L20),0)</f>
        <v>242</v>
      </c>
      <c r="N20" s="93">
        <f>H20+I20</f>
        <v>-29</v>
      </c>
      <c r="O20" s="115">
        <f>IFERROR(N20/(J20/30),0)</f>
        <v>-12.588424437299</v>
      </c>
      <c r="P20" s="113" t="n">
        <v>8</v>
      </c>
      <c r="Q20" s="116">
        <f>IF(OR(H20&lt;=0,N20&lt;=M20),ROUNDUP((M20+J20/30*$R$7-N20)/P20,0)*P20,0)</f>
        <v>416</v>
      </c>
      <c r="R20" s="117">
        <f>Q20*IFERROR(INDEX('Product Catalog'!$J$7:$J$22,MATCH(B20,'Product Catalog'!$B$7:$B$22,0)),0)</f>
        <v>43264</v>
      </c>
      <c r="S20" s="80" t="str">
        <f>IF(H20&lt;=0,$S$11,IF(N20&lt;=M20,$R$11,IF(N20&lt;=M20*(1+$R$8),$Q$11,$P$11)))</f>
        <v>Stockout risk</v>
      </c>
      <c r="T20" s="76" t="s">
        <v>327</v>
      </c>
      <c r="V20" s="118" t="str">
        <f>B20</f>
        <v>LL-FUR-301</v>
      </c>
      <c r="W20" s="119">
        <f>MIN(O20,240)</f>
        <v>-12.588424437299</v>
      </c>
      <c r="X20" s="119">
        <f>K20+L20</f>
        <v>105</v>
      </c>
    </row>
    <row r="21" ht="47.6" customHeight="true">
      <c r="B21" s="90" t="inlineStr">
        <is>
          <t>LL-FUR-305</t>
        </is>
      </c>
      <c r="C21" s="76" t="str">
        <f>IFERROR(INDEX('Product Catalog'!$C$7:$C$22,MATCH(B21,'Product Catalog'!$B$7:$B$22,0)),"")</f>
        <v>Brenna Extendable Oak Dining Table</v>
      </c>
      <c r="D21" s="92" t="str">
        <f>IFERROR(INDEX('Product Catalog'!$D$7:$D$22,MATCH(B21,'Product Catalog'!$B$7:$B$22,0)),"")</f>
        <v>Furniture</v>
      </c>
      <c r="E21" s="92" t="s">
        <v>318</v>
      </c>
      <c r="F21" s="113" t="n">
        <v>30</v>
      </c>
      <c r="G21" s="93">
        <f>SUMIFS('International Orders'!$J$8:$J$107,'International Orders'!$G$8:$G$107,$B21,'International Orders'!$P$8:$P$107,'International Orders'!$N$5)+SUMIFS('International Orders'!$J$8:$J$107,'International Orders'!$G$8:$G$107,$B21,'International Orders'!$P$8:$P$107,'International Orders'!$O$5)</f>
        <v>0</v>
      </c>
      <c r="H21" s="114">
        <f>F21-G21</f>
        <v>30</v>
      </c>
      <c r="I21" s="113" t="n">
        <v>0</v>
      </c>
      <c r="J21" s="93">
        <f>SUMIFS('International Orders'!$J$8:$J$107,'International Orders'!$G$8:$G$107,$B21,'International Orders'!$P$8:$P$107,"&lt;&gt;"&amp;'International Orders'!$P$5)/$R$6</f>
        <v>6.22222222222222</v>
      </c>
      <c r="K21" s="113" t="n">
        <v>98</v>
      </c>
      <c r="L21" s="113" t="n">
        <v>28</v>
      </c>
      <c r="M21" s="93">
        <f>ROUND(J21/30*(K21+L21),0)</f>
        <v>26</v>
      </c>
      <c r="N21" s="93">
        <f>H21+I21</f>
        <v>30</v>
      </c>
      <c r="O21" s="115">
        <f>IFERROR(N21/(J21/30),0)</f>
        <v>144.642857142857</v>
      </c>
      <c r="P21" s="113" t="n">
        <v>4</v>
      </c>
      <c r="Q21" s="116">
        <f>IF(OR(H21&lt;=0,N21&lt;=M21),ROUNDUP((M21+J21/30*$R$7-N21)/P21,0)*P21,0)</f>
        <v>0</v>
      </c>
      <c r="R21" s="117">
        <f>Q21*IFERROR(INDEX('Product Catalog'!$J$7:$J$22,MATCH(B21,'Product Catalog'!$B$7:$B$22,0)),0)</f>
        <v>0</v>
      </c>
      <c r="S21" s="80" t="str">
        <f>IF(H21&lt;=0,$S$11,IF(N21&lt;=M21,$R$11,IF(N21&lt;=M21*(1+$R$8),$Q$11,$P$11)))</f>
        <v>Watch</v>
      </c>
      <c r="T21" s="76" t="s">
        <v>328</v>
      </c>
      <c r="V21" s="118" t="str">
        <f>B21</f>
        <v>LL-FUR-305</v>
      </c>
      <c r="W21" s="119">
        <f>MIN(O21,240)</f>
        <v>144.642857142857</v>
      </c>
      <c r="X21" s="119">
        <f>K21+L21</f>
        <v>126</v>
      </c>
    </row>
    <row r="22" ht="34.4" customHeight="true">
      <c r="B22" s="90" t="inlineStr">
        <is>
          <t>LL-FUR-309</t>
        </is>
      </c>
      <c r="C22" s="76" t="str">
        <f>IFERROR(INDEX('Product Catalog'!$C$7:$C$22,MATCH(B22,'Product Catalog'!$B$7:$B$22,0)),"")</f>
        <v>Otto Rattan Lounge Chair</v>
      </c>
      <c r="D22" s="92" t="str">
        <f>IFERROR(INDEX('Product Catalog'!$D$7:$D$22,MATCH(B22,'Product Catalog'!$B$7:$B$22,0)),"")</f>
        <v>Furniture</v>
      </c>
      <c r="E22" s="92" t="s">
        <v>321</v>
      </c>
      <c r="F22" s="113" t="n">
        <v>296</v>
      </c>
      <c r="G22" s="93">
        <f>SUMIFS('International Orders'!$J$8:$J$107,'International Orders'!$G$8:$G$107,$B22,'International Orders'!$P$8:$P$107,'International Orders'!$N$5)+SUMIFS('International Orders'!$J$8:$J$107,'International Orders'!$G$8:$G$107,$B22,'International Orders'!$P$8:$P$107,'International Orders'!$O$5)</f>
        <v>44</v>
      </c>
      <c r="H22" s="114">
        <f>F22-G22</f>
        <v>252</v>
      </c>
      <c r="I22" s="113" t="n">
        <v>0</v>
      </c>
      <c r="J22" s="93">
        <f>SUMIFS('International Orders'!$J$8:$J$107,'International Orders'!$G$8:$G$107,$B22,'International Orders'!$P$8:$P$107,"&lt;&gt;"&amp;'International Orders'!$P$5)/$R$6</f>
        <v>40.4444444444444</v>
      </c>
      <c r="K22" s="113" t="n">
        <v>91</v>
      </c>
      <c r="L22" s="113" t="n">
        <v>21</v>
      </c>
      <c r="M22" s="93">
        <f>ROUND(J22/30*(K22+L22),0)</f>
        <v>151</v>
      </c>
      <c r="N22" s="93">
        <f>H22+I22</f>
        <v>252</v>
      </c>
      <c r="O22" s="115">
        <f>IFERROR(N22/(J22/30),0)</f>
        <v>186.923076923077</v>
      </c>
      <c r="P22" s="113" t="n">
        <v>6</v>
      </c>
      <c r="Q22" s="116">
        <f>IF(OR(H22&lt;=0,N22&lt;=M22),ROUNDUP((M22+J22/30*$R$7-N22)/P22,0)*P22,0)</f>
        <v>0</v>
      </c>
      <c r="R22" s="117">
        <f>Q22*IFERROR(INDEX('Product Catalog'!$J$7:$J$22,MATCH(B22,'Product Catalog'!$B$7:$B$22,0)),0)</f>
        <v>0</v>
      </c>
      <c r="S22" s="80" t="str">
        <f>IF(H22&lt;=0,$S$11,IF(N22&lt;=M22,$R$11,IF(N22&lt;=M22*(1+$R$8),$Q$11,$P$11)))</f>
        <v>Healthy</v>
      </c>
      <c r="T22" s="76" t="s">
        <v>329</v>
      </c>
      <c r="V22" s="118" t="str">
        <f>B22</f>
        <v>LL-FUR-309</v>
      </c>
      <c r="W22" s="119">
        <f>MIN(O22,240)</f>
        <v>186.923076923077</v>
      </c>
      <c r="X22" s="119">
        <f>K22+L22</f>
        <v>112</v>
      </c>
    </row>
    <row r="23" ht="21.2" customHeight="true">
      <c r="B23" s="90" t="inlineStr">
        <is>
          <t>LL-FUR-316</t>
        </is>
      </c>
      <c r="C23" s="76" t="str">
        <f>IFERROR(INDEX('Product Catalog'!$C$7:$C$22,MATCH(B23,'Product Catalog'!$B$7:$B$22,0)),"")</f>
        <v>Liss Walnut Side Table</v>
      </c>
      <c r="D23" s="92" t="str">
        <f>IFERROR(INDEX('Product Catalog'!$D$7:$D$22,MATCH(B23,'Product Catalog'!$B$7:$B$22,0)),"")</f>
        <v>Furniture</v>
      </c>
      <c r="E23" s="92" t="s">
        <v>321</v>
      </c>
      <c r="F23" s="113" t="n">
        <v>297</v>
      </c>
      <c r="G23" s="93">
        <f>SUMIFS('International Orders'!$J$8:$J$107,'International Orders'!$G$8:$G$107,$B23,'International Orders'!$P$8:$P$107,'International Orders'!$N$5)+SUMIFS('International Orders'!$J$8:$J$107,'International Orders'!$G$8:$G$107,$B23,'International Orders'!$P$8:$P$107,'International Orders'!$O$5)</f>
        <v>36</v>
      </c>
      <c r="H23" s="114">
        <f>F23-G23</f>
        <v>261</v>
      </c>
      <c r="I23" s="113" t="n">
        <v>0</v>
      </c>
      <c r="J23" s="93">
        <f>SUMIFS('International Orders'!$J$8:$J$107,'International Orders'!$G$8:$G$107,$B23,'International Orders'!$P$8:$P$107,"&lt;&gt;"&amp;'International Orders'!$P$5)/$R$6</f>
        <v>48</v>
      </c>
      <c r="K23" s="113" t="n">
        <v>77</v>
      </c>
      <c r="L23" s="113" t="n">
        <v>21</v>
      </c>
      <c r="M23" s="93">
        <f>ROUND(J23/30*(K23+L23),0)</f>
        <v>157</v>
      </c>
      <c r="N23" s="93">
        <f>H23+I23</f>
        <v>261</v>
      </c>
      <c r="O23" s="115">
        <f>IFERROR(N23/(J23/30),0)</f>
        <v>163.125</v>
      </c>
      <c r="P23" s="113" t="n">
        <v>8</v>
      </c>
      <c r="Q23" s="116">
        <f>IF(OR(H23&lt;=0,N23&lt;=M23),ROUNDUP((M23+J23/30*$R$7-N23)/P23,0)*P23,0)</f>
        <v>0</v>
      </c>
      <c r="R23" s="117">
        <f>Q23*IFERROR(INDEX('Product Catalog'!$J$7:$J$22,MATCH(B23,'Product Catalog'!$B$7:$B$22,0)),0)</f>
        <v>0</v>
      </c>
      <c r="S23" s="80" t="str">
        <f>IF(H23&lt;=0,$S$11,IF(N23&lt;=M23,$R$11,IF(N23&lt;=M23*(1+$R$8),$Q$11,$P$11)))</f>
        <v>Healthy</v>
      </c>
      <c r="T23" s="76" t="s">
        <v>330</v>
      </c>
      <c r="V23" s="118" t="str">
        <f>B23</f>
        <v>LL-FUR-316</v>
      </c>
      <c r="W23" s="119">
        <f>MIN(O23,240)</f>
        <v>163.125</v>
      </c>
      <c r="X23" s="119">
        <f>K23+L23</f>
        <v>98</v>
      </c>
    </row>
    <row r="24" ht="34.4" customHeight="true">
      <c r="B24" s="90" t="inlineStr">
        <is>
          <t>LL-KIT-401</t>
        </is>
      </c>
      <c r="C24" s="76" t="str">
        <f>IFERROR(INDEX('Product Catalog'!$C$7:$C$22,MATCH(B24,'Product Catalog'!$B$7:$B$22,0)),"")</f>
        <v>Hollis Stoneware Dinner Set</v>
      </c>
      <c r="D24" s="92" t="str">
        <f>IFERROR(INDEX('Product Catalog'!$D$7:$D$22,MATCH(B24,'Product Catalog'!$B$7:$B$22,0)),"")</f>
        <v>Kitchen &amp; Dining</v>
      </c>
      <c r="E24" s="92" t="s">
        <v>318</v>
      </c>
      <c r="F24" s="113" t="n">
        <v>39</v>
      </c>
      <c r="G24" s="93">
        <f>SUMIFS('International Orders'!$J$8:$J$107,'International Orders'!$G$8:$G$107,$B24,'International Orders'!$P$8:$P$107,'International Orders'!$N$5)+SUMIFS('International Orders'!$J$8:$J$107,'International Orders'!$G$8:$G$107,$B24,'International Orders'!$P$8:$P$107,'International Orders'!$O$5)</f>
        <v>0</v>
      </c>
      <c r="H24" s="114">
        <f>F24-G24</f>
        <v>39</v>
      </c>
      <c r="I24" s="113" t="n">
        <v>0</v>
      </c>
      <c r="J24" s="93">
        <f>SUMIFS('International Orders'!$J$8:$J$107,'International Orders'!$G$8:$G$107,$B24,'International Orders'!$P$8:$P$107,"&lt;&gt;"&amp;'International Orders'!$P$5)/$R$6</f>
        <v>23.3333333333333</v>
      </c>
      <c r="K24" s="113" t="n">
        <v>56</v>
      </c>
      <c r="L24" s="113" t="n">
        <v>14</v>
      </c>
      <c r="M24" s="93">
        <f>ROUND(J24/30*(K24+L24),0)</f>
        <v>54</v>
      </c>
      <c r="N24" s="93">
        <f>H24+I24</f>
        <v>39</v>
      </c>
      <c r="O24" s="115">
        <f>IFERROR(N24/(J24/30),0)</f>
        <v>50.1428571428571</v>
      </c>
      <c r="P24" s="113" t="n">
        <v>30</v>
      </c>
      <c r="Q24" s="116">
        <f>IF(OR(H24&lt;=0,N24&lt;=M24),ROUNDUP((M24+J24/30*$R$7-N24)/P24,0)*P24,0)</f>
        <v>90</v>
      </c>
      <c r="R24" s="117">
        <f>Q24*IFERROR(INDEX('Product Catalog'!$J$7:$J$22,MATCH(B24,'Product Catalog'!$B$7:$B$22,0)),0)</f>
        <v>5220</v>
      </c>
      <c r="S24" s="80" t="str">
        <f>IF(H24&lt;=0,$S$11,IF(N24&lt;=M24,$R$11,IF(N24&lt;=M24*(1+$R$8),$Q$11,$P$11)))</f>
        <v>Reorder now</v>
      </c>
      <c r="T24" s="76" t="s">
        <v>331</v>
      </c>
      <c r="V24" s="118" t="str">
        <f>B24</f>
        <v>LL-KIT-401</v>
      </c>
      <c r="W24" s="119">
        <f>MIN(O24,240)</f>
        <v>50.1428571428571</v>
      </c>
      <c r="X24" s="119">
        <f>K24+L24</f>
        <v>70</v>
      </c>
    </row>
    <row r="25" ht="34.4" customHeight="true">
      <c r="B25" s="90" t="inlineStr">
        <is>
          <t>LL-KIT-406</t>
        </is>
      </c>
      <c r="C25" s="76" t="str">
        <f>IFERROR(INDEX('Product Catalog'!$C$7:$C$22,MATCH(B25,'Product Catalog'!$B$7:$B$22,0)),"")</f>
        <v>Aska Enamelled Cast Iron Casserole</v>
      </c>
      <c r="D25" s="92" t="str">
        <f>IFERROR(INDEX('Product Catalog'!$D$7:$D$22,MATCH(B25,'Product Catalog'!$B$7:$B$22,0)),"")</f>
        <v>Kitchen &amp; Dining</v>
      </c>
      <c r="E25" s="92" t="s">
        <v>318</v>
      </c>
      <c r="F25" s="113" t="n">
        <v>556</v>
      </c>
      <c r="G25" s="93">
        <f>SUMIFS('International Orders'!$J$8:$J$107,'International Orders'!$G$8:$G$107,$B25,'International Orders'!$P$8:$P$107,'International Orders'!$N$5)+SUMIFS('International Orders'!$J$8:$J$107,'International Orders'!$G$8:$G$107,$B25,'International Orders'!$P$8:$P$107,'International Orders'!$O$5)</f>
        <v>144</v>
      </c>
      <c r="H25" s="114">
        <f>F25-G25</f>
        <v>412</v>
      </c>
      <c r="I25" s="113" t="n">
        <v>120</v>
      </c>
      <c r="J25" s="93">
        <f>SUMIFS('International Orders'!$J$8:$J$107,'International Orders'!$G$8:$G$107,$B25,'International Orders'!$P$8:$P$107,"&lt;&gt;"&amp;'International Orders'!$P$5)/$R$6</f>
        <v>99.1111111111111</v>
      </c>
      <c r="K25" s="113" t="n">
        <v>63</v>
      </c>
      <c r="L25" s="113" t="n">
        <v>14</v>
      </c>
      <c r="M25" s="93">
        <f>ROUND(J25/30*(K25+L25),0)</f>
        <v>254</v>
      </c>
      <c r="N25" s="93">
        <f>H25+I25</f>
        <v>532</v>
      </c>
      <c r="O25" s="115">
        <f>IFERROR(N25/(J25/30),0)</f>
        <v>161.031390134529</v>
      </c>
      <c r="P25" s="113" t="n">
        <v>24</v>
      </c>
      <c r="Q25" s="116">
        <f>IF(OR(H25&lt;=0,N25&lt;=M25),ROUNDUP((M25+J25/30*$R$7-N25)/P25,0)*P25,0)</f>
        <v>0</v>
      </c>
      <c r="R25" s="117">
        <f>Q25*IFERROR(INDEX('Product Catalog'!$J$7:$J$22,MATCH(B25,'Product Catalog'!$B$7:$B$22,0)),0)</f>
        <v>0</v>
      </c>
      <c r="S25" s="80" t="str">
        <f>IF(H25&lt;=0,$S$11,IF(N25&lt;=M25,$R$11,IF(N25&lt;=M25*(1+$R$8),$Q$11,$P$11)))</f>
        <v>Healthy</v>
      </c>
      <c r="T25" s="76" t="s">
        <v>332</v>
      </c>
      <c r="V25" s="118" t="str">
        <f>B25</f>
        <v>LL-KIT-406</v>
      </c>
      <c r="W25" s="119">
        <f>MIN(O25,240)</f>
        <v>161.031390134529</v>
      </c>
      <c r="X25" s="119">
        <f>K25+L25</f>
        <v>77</v>
      </c>
    </row>
    <row r="26" ht="21.2" customHeight="true">
      <c r="B26" s="90" t="inlineStr">
        <is>
          <t>LL-KIT-410</t>
        </is>
      </c>
      <c r="C26" s="76" t="str">
        <f>IFERROR(INDEX('Product Catalog'!$C$7:$C$22,MATCH(B26,'Product Catalog'!$B$7:$B$22,0)),"")</f>
        <v>Rune Acacia Serving Board</v>
      </c>
      <c r="D26" s="92" t="str">
        <f>IFERROR(INDEX('Product Catalog'!$D$7:$D$22,MATCH(B26,'Product Catalog'!$B$7:$B$22,0)),"")</f>
        <v>Kitchen &amp; Dining</v>
      </c>
      <c r="E26" s="92" t="s">
        <v>318</v>
      </c>
      <c r="F26" s="113" t="n">
        <v>1374</v>
      </c>
      <c r="G26" s="93">
        <f>SUMIFS('International Orders'!$J$8:$J$107,'International Orders'!$G$8:$G$107,$B26,'International Orders'!$P$8:$P$107,'International Orders'!$N$5)+SUMIFS('International Orders'!$J$8:$J$107,'International Orders'!$G$8:$G$107,$B26,'International Orders'!$P$8:$P$107,'International Orders'!$O$5)</f>
        <v>0</v>
      </c>
      <c r="H26" s="114">
        <f>F26-G26</f>
        <v>1374</v>
      </c>
      <c r="I26" s="113" t="n">
        <v>0</v>
      </c>
      <c r="J26" s="93">
        <f>SUMIFS('International Orders'!$J$8:$J$107,'International Orders'!$G$8:$G$107,$B26,'International Orders'!$P$8:$P$107,"&lt;&gt;"&amp;'International Orders'!$P$5)/$R$6</f>
        <v>536</v>
      </c>
      <c r="K26" s="113" t="n">
        <v>35</v>
      </c>
      <c r="L26" s="113" t="n">
        <v>14</v>
      </c>
      <c r="M26" s="93">
        <f>ROUND(J26/30*(K26+L26),0)</f>
        <v>875</v>
      </c>
      <c r="N26" s="93">
        <f>H26+I26</f>
        <v>1374</v>
      </c>
      <c r="O26" s="115">
        <f>IFERROR(N26/(J26/30),0)</f>
        <v>76.9029850746269</v>
      </c>
      <c r="P26" s="113" t="n">
        <v>60</v>
      </c>
      <c r="Q26" s="116">
        <f>IF(OR(H26&lt;=0,N26&lt;=M26),ROUNDUP((M26+J26/30*$R$7-N26)/P26,0)*P26,0)</f>
        <v>0</v>
      </c>
      <c r="R26" s="117">
        <f>Q26*IFERROR(INDEX('Product Catalog'!$J$7:$J$22,MATCH(B26,'Product Catalog'!$B$7:$B$22,0)),0)</f>
        <v>0</v>
      </c>
      <c r="S26" s="80" t="str">
        <f>IF(H26&lt;=0,$S$11,IF(N26&lt;=M26,$R$11,IF(N26&lt;=M26*(1+$R$8),$Q$11,$P$11)))</f>
        <v>Healthy</v>
      </c>
      <c r="T26" s="76" t="s">
        <v>330</v>
      </c>
      <c r="V26" s="118" t="str">
        <f>B26</f>
        <v>LL-KIT-410</v>
      </c>
      <c r="W26" s="119">
        <f>MIN(O26,240)</f>
        <v>76.9029850746269</v>
      </c>
      <c r="X26" s="119">
        <f>K26+L26</f>
        <v>49</v>
      </c>
    </row>
    <row r="27" ht="34.4" customHeight="true">
      <c r="B27" s="90" t="inlineStr">
        <is>
          <t>LL-DEC-501</t>
        </is>
      </c>
      <c r="C27" s="76" t="str">
        <f>IFERROR(INDEX('Product Catalog'!$C$7:$C$22,MATCH(B27,'Product Catalog'!$B$7:$B$22,0)),"")</f>
        <v>Lumi Recycled Glass Vase</v>
      </c>
      <c r="D27" s="92" t="str">
        <f>IFERROR(INDEX('Product Catalog'!$D$7:$D$22,MATCH(B27,'Product Catalog'!$B$7:$B$22,0)),"")</f>
        <v>Decor &amp; Rugs</v>
      </c>
      <c r="E27" s="92" t="s">
        <v>318</v>
      </c>
      <c r="F27" s="113" t="n">
        <v>753</v>
      </c>
      <c r="G27" s="93">
        <f>SUMIFS('International Orders'!$J$8:$J$107,'International Orders'!$G$8:$G$107,$B27,'International Orders'!$P$8:$P$107,'International Orders'!$N$5)+SUMIFS('International Orders'!$J$8:$J$107,'International Orders'!$G$8:$G$107,$B27,'International Orders'!$P$8:$P$107,'International Orders'!$O$5)</f>
        <v>0</v>
      </c>
      <c r="H27" s="114">
        <f>F27-G27</f>
        <v>753</v>
      </c>
      <c r="I27" s="113" t="n">
        <v>0</v>
      </c>
      <c r="J27" s="93">
        <f>SUMIFS('International Orders'!$J$8:$J$107,'International Orders'!$G$8:$G$107,$B27,'International Orders'!$P$8:$P$107,"&lt;&gt;"&amp;'International Orders'!$P$5)/$R$6</f>
        <v>359.555555555556</v>
      </c>
      <c r="K27" s="113" t="n">
        <v>42</v>
      </c>
      <c r="L27" s="113" t="n">
        <v>14</v>
      </c>
      <c r="M27" s="93">
        <f>ROUND(J27/30*(K27+L27),0)</f>
        <v>671</v>
      </c>
      <c r="N27" s="93">
        <f>H27+I27</f>
        <v>753</v>
      </c>
      <c r="O27" s="115">
        <f>IFERROR(N27/(J27/30),0)</f>
        <v>62.827564894932</v>
      </c>
      <c r="P27" s="113" t="n">
        <v>48</v>
      </c>
      <c r="Q27" s="116">
        <f>IF(OR(H27&lt;=0,N27&lt;=M27),ROUNDUP((M27+J27/30*$R$7-N27)/P27,0)*P27,0)</f>
        <v>0</v>
      </c>
      <c r="R27" s="117">
        <f>Q27*IFERROR(INDEX('Product Catalog'!$J$7:$J$22,MATCH(B27,'Product Catalog'!$B$7:$B$22,0)),0)</f>
        <v>0</v>
      </c>
      <c r="S27" s="80" t="str">
        <f>IF(H27&lt;=0,$S$11,IF(N27&lt;=M27,$R$11,IF(N27&lt;=M27*(1+$R$8),$Q$11,$P$11)))</f>
        <v>Watch</v>
      </c>
      <c r="T27" s="76" t="s">
        <v>333</v>
      </c>
      <c r="V27" s="118" t="str">
        <f>B27</f>
        <v>LL-DEC-501</v>
      </c>
      <c r="W27" s="119">
        <f>MIN(O27,240)</f>
        <v>62.827564894932</v>
      </c>
      <c r="X27" s="119">
        <f>K27+L27</f>
        <v>56</v>
      </c>
    </row>
    <row r="28" ht="34.4" customHeight="true">
      <c r="B28" s="90" t="inlineStr">
        <is>
          <t>LL-DEC-507</t>
        </is>
      </c>
      <c r="C28" s="76" t="str">
        <f>IFERROR(INDEX('Product Catalog'!$C$7:$C$22,MATCH(B28,'Product Catalog'!$B$7:$B$22,0)),"")</f>
        <v>Tarn Wool Area Rug</v>
      </c>
      <c r="D28" s="92" t="str">
        <f>IFERROR(INDEX('Product Catalog'!$D$7:$D$22,MATCH(B28,'Product Catalog'!$B$7:$B$22,0)),"")</f>
        <v>Decor &amp; Rugs</v>
      </c>
      <c r="E28" s="92" t="s">
        <v>318</v>
      </c>
      <c r="F28" s="113" t="n">
        <v>257</v>
      </c>
      <c r="G28" s="93">
        <f>SUMIFS('International Orders'!$J$8:$J$107,'International Orders'!$G$8:$G$107,$B28,'International Orders'!$P$8:$P$107,'International Orders'!$N$5)+SUMIFS('International Orders'!$J$8:$J$107,'International Orders'!$G$8:$G$107,$B28,'International Orders'!$P$8:$P$107,'International Orders'!$O$5)</f>
        <v>0</v>
      </c>
      <c r="H28" s="114">
        <f>F28-G28</f>
        <v>257</v>
      </c>
      <c r="I28" s="113" t="n">
        <v>0</v>
      </c>
      <c r="J28" s="93">
        <f>SUMIFS('International Orders'!$J$8:$J$107,'International Orders'!$G$8:$G$107,$B28,'International Orders'!$P$8:$P$107,"&lt;&gt;"&amp;'International Orders'!$P$5)/$R$6</f>
        <v>47.1111111111111</v>
      </c>
      <c r="K28" s="113" t="n">
        <v>77</v>
      </c>
      <c r="L28" s="113" t="n">
        <v>21</v>
      </c>
      <c r="M28" s="93">
        <f>ROUND(J28/30*(K28+L28),0)</f>
        <v>154</v>
      </c>
      <c r="N28" s="93">
        <f>H28+I28</f>
        <v>257</v>
      </c>
      <c r="O28" s="115">
        <f>IFERROR(N28/(J28/30),0)</f>
        <v>163.655660377359</v>
      </c>
      <c r="P28" s="113" t="n">
        <v>10</v>
      </c>
      <c r="Q28" s="116">
        <f>IF(OR(H28&lt;=0,N28&lt;=M28),ROUNDUP((M28+J28/30*$R$7-N28)/P28,0)*P28,0)</f>
        <v>0</v>
      </c>
      <c r="R28" s="117">
        <f>Q28*IFERROR(INDEX('Product Catalog'!$J$7:$J$22,MATCH(B28,'Product Catalog'!$B$7:$B$22,0)),0)</f>
        <v>0</v>
      </c>
      <c r="S28" s="80" t="str">
        <f>IF(H28&lt;=0,$S$11,IF(N28&lt;=M28,$R$11,IF(N28&lt;=M28*(1+$R$8),$Q$11,$P$11)))</f>
        <v>Healthy</v>
      </c>
      <c r="T28" s="76" t="s">
        <v>334</v>
      </c>
      <c r="V28" s="118" t="str">
        <f>B28</f>
        <v>LL-DEC-507</v>
      </c>
      <c r="W28" s="119">
        <f>MIN(O28,240)</f>
        <v>163.655660377359</v>
      </c>
      <c r="X28" s="119">
        <f>K28+L28</f>
        <v>98</v>
      </c>
    </row>
    <row r="29" ht="22" customHeight="true">
      <c r="B29" s="62" t="s">
        <v>23</v>
      </c>
      <c r="C29" s="63" t="n"/>
      <c r="D29" s="63" t="n"/>
      <c r="E29" s="63" t="n"/>
      <c r="F29" s="64">
        <f>SUM(F13:F28)</f>
        <v>7640</v>
      </c>
      <c r="G29" s="64">
        <f>SUM(G13:G28)</f>
        <v>1496</v>
      </c>
      <c r="H29" s="64">
        <f>SUM(H13:H28)</f>
        <v>6144</v>
      </c>
      <c r="I29" s="64">
        <f>SUM(I13:I28)</f>
        <v>408</v>
      </c>
      <c r="J29" s="63" t="n"/>
      <c r="K29" s="63" t="n"/>
      <c r="L29" s="63" t="n"/>
      <c r="M29" s="63" t="n"/>
      <c r="N29" s="63" t="n"/>
      <c r="O29" s="63" t="n"/>
      <c r="P29" s="63" t="n"/>
      <c r="Q29" s="64">
        <f>SUM(Q13:Q28)</f>
        <v>1634</v>
      </c>
      <c r="R29" s="66">
        <f>SUM(R13:R28)</f>
        <v>66460</v>
      </c>
      <c r="S29" s="63" t="n"/>
      <c r="T29" s="63" t="n"/>
    </row>
    <row r="30"/>
    <row r="31" ht="24" customHeight="true">
      <c r="B31" s="21" t="s">
        <v>335</v>
      </c>
      <c r="C31" s="22" t="n"/>
      <c r="D31" s="22" t="n"/>
      <c r="E31" s="22" t="n"/>
      <c r="F31" s="22" t="n"/>
      <c r="G31" s="22" t="n"/>
      <c r="H31" s="22" t="n"/>
      <c r="I31" s="22" t="n"/>
      <c r="J31" s="22" t="n"/>
      <c r="K31" s="22" t="n"/>
      <c r="L31" s="22" t="n"/>
      <c r="N31" s="21" t="s">
        <v>336</v>
      </c>
      <c r="O31" s="22" t="n"/>
      <c r="P31" s="22" t="n"/>
      <c r="Q31" s="22" t="n"/>
      <c r="R31" s="22" t="n"/>
      <c r="S31" s="22" t="n"/>
      <c r="T31" s="22" t="n"/>
    </row>
    <row r="32" ht="18" customHeight="true">
      <c r="N32" s="49" t="s">
        <v>337</v>
      </c>
    </row>
    <row r="33" ht="18" customHeight="true"/>
    <row r="34" ht="18" customHeight="true"/>
    <row r="35" ht="18" customHeight="true"/>
    <row r="36" ht="18" customHeight="true"/>
    <row r="37" ht="18" customHeight="true"/>
    <row r="38" ht="18" customHeight="true"/>
    <row r="39" ht="18" customHeight="true"/>
    <row r="40" ht="18" customHeight="true"/>
    <row r="41" ht="18" customHeight="true"/>
    <row r="42" ht="18" customHeight="true"/>
    <row r="43" ht="18" customHeight="true"/>
    <row r="44" ht="18" customHeight="true"/>
    <row r="45" ht="18" customHeight="true"/>
    <row r="46" ht="18" customHeight="true"/>
    <row r="47" ht="18" customHeight="true"/>
    <row r="48" ht="18" customHeight="true"/>
    <row r="49" ht="18" customHeight="true"/>
  </sheetData>
  <mergeCells count="21">
    <mergeCell ref="B7:C7"/>
    <mergeCell ref="I8:L8"/>
    <mergeCell ref="N31:T31"/>
    <mergeCell ref="F8:H8"/>
    <mergeCell ref="N6:Q6"/>
    <mergeCell ref="B31:L31"/>
    <mergeCell ref="D6:E6"/>
    <mergeCell ref="I6:L6"/>
    <mergeCell ref="B4:T4"/>
    <mergeCell ref="B8:C8"/>
    <mergeCell ref="N7:Q7"/>
    <mergeCell ref="D7:E7"/>
    <mergeCell ref="S6:T8"/>
    <mergeCell ref="I7:L7"/>
    <mergeCell ref="B11:N11"/>
    <mergeCell ref="D8:E8"/>
    <mergeCell ref="N32:T49"/>
    <mergeCell ref="B6:C6"/>
    <mergeCell ref="F6:H6"/>
    <mergeCell ref="N8:Q8"/>
    <mergeCell ref="F7:H7"/>
  </mergeCells>
  <conditionalFormatting sqref="S13:S28">
    <cfRule type="expression" dxfId="5" priority="1" stopIfTrue="true">
      <formula>S13=$P$11</formula>
    </cfRule>
    <cfRule type="expression" dxfId="7" priority="2" stopIfTrue="true">
      <formula>S13=$Q$11</formula>
    </cfRule>
    <cfRule type="expression" dxfId="8" priority="3" stopIfTrue="true">
      <formula>S13=$R$11</formula>
    </cfRule>
    <cfRule type="expression" dxfId="13" priority="4" stopIfTrue="true">
      <formula>S13=$S$11</formula>
    </cfRule>
  </conditionalFormatting>
  <conditionalFormatting sqref="Q13:R28">
    <cfRule type="expression" dxfId="4" priority="5">
      <formula>$Q13&gt;0</formula>
    </cfRule>
  </conditionalFormatting>
  <conditionalFormatting sqref="B13:T28">
    <cfRule type="expression" dxfId="3" priority="6">
      <formula>MOD(ROW(),2)=0</formula>
    </cfRule>
  </conditionalFormatting>
  <pageMargins left="0.4" right="0.4" top="0.5" bottom="0.5" header="0.5" footer="0.5"/>
  <pageSetup fitToHeight="0" fitToWidth="1" orientation="landscape" paperSize="9"/>
  <headerFooter>
    <oddFooter>&amp;L&amp;8 Linden &amp; Loom · Global Sales &amp; Operations Report FY2026&amp;R&amp;8 &amp;A · Page &amp;P of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00C2603A"/>
    <outlinePr summaryBelow="true" summaryRight="true"/>
    <pageSetUpPr fitToPage="true"/>
  </sheetPr>
  <dimension ref="A1:AL51"/>
  <sheetViews>
    <sheetView showGridLines="false" workbookViewId="0">
      <selection activeCell="A1" sqref="A1"/>
    </sheetView>
  </sheetViews>
  <sheetFormatPr baseColWidth="8" defaultRowHeight="15"/>
  <cols>
    <col customWidth="true" max="1" min="1" width="2.5"/>
    <col customWidth="true" max="2" min="2" width="7"/>
    <col customWidth="true" max="3" min="3" width="18"/>
    <col customWidth="true" max="4" min="4" width="42"/>
    <col customWidth="true" max="5" min="5" width="17"/>
    <col customWidth="true" max="7" min="6" width="11.5"/>
    <col customWidth="true" max="8" min="8" width="8.5"/>
    <col customWidth="true" max="9" min="9" width="12.5"/>
    <col customWidth="true" max="10" min="10" width="10"/>
    <col customWidth="true" max="11" min="11" width="2"/>
    <col customWidth="true" max="37" min="12" width="3.6"/>
    <col customWidth="true" max="38" min="38" width="2.5"/>
  </cols>
  <sheetData>
    <row r="1" ht="7" customHeight="true">
      <c r="A1" s="1" t="n"/>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c r="AA1" s="1" t="n"/>
      <c r="AB1" s="1" t="n"/>
      <c r="AC1" s="1" t="n"/>
      <c r="AD1" s="1" t="n"/>
      <c r="AE1" s="1" t="n"/>
      <c r="AF1" s="1" t="n"/>
      <c r="AG1" s="1" t="n"/>
      <c r="AH1" s="1" t="n"/>
      <c r="AI1" s="1" t="n"/>
      <c r="AJ1" s="1" t="n"/>
      <c r="AK1" s="1" t="n"/>
      <c r="AL1" s="1" t="n"/>
    </row>
    <row r="2" ht="22" customHeight="true">
      <c r="B2" s="53" t="s">
        <v>38</v>
      </c>
    </row>
    <row r="3" ht="32" customHeight="true">
      <c r="B3" s="54" t="s">
        <v>338</v>
      </c>
    </row>
    <row r="4" ht="30" customHeight="true">
      <c r="B4" s="55" t="s">
        <v>339</v>
      </c>
    </row>
    <row r="5" ht="10" customHeight="true"/>
    <row r="6" ht="21" customHeight="true">
      <c r="B6" s="37" t="s">
        <v>340</v>
      </c>
      <c r="I6" s="120" t="s">
        <v>341</v>
      </c>
      <c r="J6" s="31" t="n"/>
      <c r="L6" s="57" t="s">
        <v>342</v>
      </c>
      <c r="M6" s="31" t="n"/>
      <c r="N6" s="31" t="n"/>
      <c r="O6" s="31" t="n"/>
      <c r="P6" s="31" t="n"/>
      <c r="Q6" s="31" t="n"/>
      <c r="R6" s="31" t="n"/>
      <c r="S6" s="31" t="n"/>
      <c r="T6" s="31" t="n"/>
      <c r="U6" s="31" t="n"/>
      <c r="V6" s="31" t="n"/>
      <c r="X6" s="37" t="s">
        <v>343</v>
      </c>
    </row>
    <row r="7" ht="21" customHeight="true">
      <c r="B7" s="49" t="s">
        <v>344</v>
      </c>
      <c r="I7" s="120" t="s">
        <v>345</v>
      </c>
      <c r="J7" s="31" t="n"/>
      <c r="L7" s="57" t="s">
        <v>346</v>
      </c>
      <c r="M7" s="31" t="n"/>
      <c r="N7" s="31" t="n"/>
      <c r="O7" s="31" t="n"/>
      <c r="P7" s="31" t="n"/>
      <c r="Q7" s="31" t="n"/>
      <c r="R7" s="31" t="n"/>
      <c r="S7" s="31" t="n"/>
      <c r="T7" s="31" t="n"/>
      <c r="U7" s="31" t="n"/>
      <c r="V7" s="31" t="n"/>
      <c r="X7" s="121">
        <f>IFERROR(SUMPRODUCT(H16:H33,J16:J33)/SUM(H16:H33),0)</f>
        <v>0.198757763975155</v>
      </c>
      <c r="AD7" s="122" t="str">
        <f>$H$12</f>
        <v>Complete</v>
      </c>
      <c r="AI7" s="123">
        <f>SUMPRODUCT(($I$16:$I$33=$H$12)*(LEFT($B$16:$B$33,1)="T"))</f>
        <v>2</v>
      </c>
    </row>
    <row r="8" ht="21" customHeight="true">
      <c r="I8" s="120" t="s">
        <v>347</v>
      </c>
      <c r="J8" s="31" t="n"/>
      <c r="L8" s="124">
        <f>G33</f>
        <v>46447.0</v>
      </c>
      <c r="M8" s="31" t="n"/>
      <c r="N8" s="31" t="n"/>
      <c r="O8" s="31" t="n"/>
      <c r="P8" s="31" t="n"/>
      <c r="Q8" s="31" t="n"/>
      <c r="R8" s="31" t="n"/>
      <c r="S8" s="31" t="n"/>
      <c r="T8" s="31" t="n"/>
      <c r="U8" s="31" t="n"/>
      <c r="V8" s="31" t="n"/>
      <c r="AD8" s="122" t="str">
        <f>$F$12</f>
        <v>In progress</v>
      </c>
      <c r="AI8" s="125">
        <f>SUMPRODUCT(($I$16:$I$33=$F$12)*(LEFT($B$16:$B$33,1)="T"))</f>
        <v>4</v>
      </c>
    </row>
    <row r="9" ht="21" customHeight="true">
      <c r="I9" s="120" t="s">
        <v>348</v>
      </c>
      <c r="J9" s="31" t="n"/>
      <c r="L9" s="126" t="n">
        <v>480000</v>
      </c>
      <c r="M9" s="127" t="n"/>
      <c r="N9" s="127" t="n"/>
      <c r="O9" s="127" t="n"/>
      <c r="P9" s="127" t="n"/>
      <c r="Q9" s="127" t="n"/>
      <c r="R9" s="127" t="n"/>
      <c r="S9" s="127" t="n"/>
      <c r="T9" s="127" t="n"/>
      <c r="U9" s="127" t="n"/>
      <c r="V9" s="127" t="n"/>
      <c r="AD9" s="122" t="str">
        <f>$G$12</f>
        <v>At risk</v>
      </c>
      <c r="AI9" s="128">
        <f>SUMPRODUCT(($I$16:$I$33=$G$12)*(LEFT($B$16:$B$33,1)="T"))</f>
        <v>1</v>
      </c>
    </row>
    <row r="10" ht="21" customHeight="true">
      <c r="I10" s="120" t="s">
        <v>349</v>
      </c>
      <c r="J10" s="31" t="n"/>
      <c r="L10" s="129" t="n">
        <v>46314</v>
      </c>
      <c r="M10" s="127" t="n"/>
      <c r="N10" s="127" t="n"/>
      <c r="O10" s="127" t="n"/>
      <c r="P10" s="127" t="n"/>
      <c r="Q10" s="127" t="n"/>
      <c r="R10" s="127" t="n"/>
      <c r="S10" s="127" t="n"/>
      <c r="T10" s="127" t="n"/>
      <c r="U10" s="127" t="n"/>
      <c r="V10" s="127" t="n"/>
      <c r="AD10" s="122" t="str">
        <f>$E$12</f>
        <v>Not started</v>
      </c>
      <c r="AI10" s="130">
        <f>SUMPRODUCT(($I$16:$I$33=$E$12)*(LEFT($B$16:$B$33,1)="T"))</f>
        <v>8</v>
      </c>
    </row>
    <row r="11" ht="12" customHeight="true"/>
    <row r="12" ht="22" customHeight="true">
      <c r="D12" s="83" t="s">
        <v>226</v>
      </c>
      <c r="E12" s="131" t="s">
        <v>350</v>
      </c>
      <c r="F12" s="86" t="s">
        <v>351</v>
      </c>
      <c r="G12" s="88" t="s">
        <v>352</v>
      </c>
      <c r="H12" s="85" t="s">
        <v>353</v>
      </c>
      <c r="J12" s="132" t="s">
        <v>354</v>
      </c>
    </row>
    <row r="13" ht="10" customHeight="true"/>
    <row r="14" ht="20" customHeight="true">
      <c r="B14" s="133" t="inlineStr">
        <is>
          <t>ID</t>
        </is>
      </c>
      <c r="C14" s="133" t="s">
        <v>355</v>
      </c>
      <c r="D14" s="133" t="s">
        <v>356</v>
      </c>
      <c r="E14" s="133" t="s">
        <v>357</v>
      </c>
      <c r="F14" s="133" t="s">
        <v>358</v>
      </c>
      <c r="G14" s="133" t="s">
        <v>359</v>
      </c>
      <c r="H14" s="133" t="s">
        <v>360</v>
      </c>
      <c r="I14" s="133" t="s">
        <v>361</v>
      </c>
      <c r="J14" s="133" t="s">
        <v>362</v>
      </c>
      <c r="L14" s="134">
        <f>L15</f>
        <v>46272.0</v>
      </c>
      <c r="P14" s="134">
        <f>P15</f>
        <v>46300.0</v>
      </c>
      <c r="T14" s="134">
        <f>T15</f>
        <v>46328.0</v>
      </c>
      <c r="Y14" s="134">
        <f>Y15</f>
        <v>46363.0</v>
      </c>
      <c r="AC14" s="134">
        <f>AC15</f>
        <v>46391.0</v>
      </c>
      <c r="AG14" s="134">
        <f>AG15</f>
        <v>46419.0</v>
      </c>
      <c r="AK14" s="135">
        <f>AK15</f>
        <v>46447.0</v>
      </c>
    </row>
    <row r="15" ht="30" customHeight="true">
      <c r="B15" s="136" t="n"/>
      <c r="C15" s="136" t="n"/>
      <c r="D15" s="136" t="n"/>
      <c r="E15" s="136" t="n"/>
      <c r="F15" s="136" t="n"/>
      <c r="G15" s="136" t="n"/>
      <c r="H15" s="136" t="n"/>
      <c r="I15" s="136" t="n"/>
      <c r="J15" s="136" t="n"/>
      <c r="L15" s="137" t="n">
        <v>46272</v>
      </c>
      <c r="M15" s="138">
        <f>L15+7</f>
        <v>46279.0</v>
      </c>
      <c r="N15" s="138">
        <f>M15+7</f>
        <v>46286.0</v>
      </c>
      <c r="O15" s="138">
        <f>N15+7</f>
        <v>46293.0</v>
      </c>
      <c r="P15" s="138">
        <f>O15+7</f>
        <v>46300.0</v>
      </c>
      <c r="Q15" s="138">
        <f>P15+7</f>
        <v>46307.0</v>
      </c>
      <c r="R15" s="138">
        <f>Q15+7</f>
        <v>46314.0</v>
      </c>
      <c r="S15" s="138">
        <f>R15+7</f>
        <v>46321.0</v>
      </c>
      <c r="T15" s="138">
        <f>S15+7</f>
        <v>46328.0</v>
      </c>
      <c r="U15" s="138">
        <f>T15+7</f>
        <v>46335.0</v>
      </c>
      <c r="V15" s="138">
        <f>U15+7</f>
        <v>46342.0</v>
      </c>
      <c r="W15" s="138">
        <f>V15+7</f>
        <v>46349.0</v>
      </c>
      <c r="X15" s="138">
        <f>W15+7</f>
        <v>46356.0</v>
      </c>
      <c r="Y15" s="138">
        <f>X15+7</f>
        <v>46363.0</v>
      </c>
      <c r="Z15" s="138">
        <f>Y15+7</f>
        <v>46370.0</v>
      </c>
      <c r="AA15" s="138">
        <f>Z15+7</f>
        <v>46377.0</v>
      </c>
      <c r="AB15" s="138">
        <f>AA15+7</f>
        <v>46384.0</v>
      </c>
      <c r="AC15" s="138">
        <f>AB15+7</f>
        <v>46391.0</v>
      </c>
      <c r="AD15" s="138">
        <f>AC15+7</f>
        <v>46398.0</v>
      </c>
      <c r="AE15" s="138">
        <f>AD15+7</f>
        <v>46405.0</v>
      </c>
      <c r="AF15" s="138">
        <f>AE15+7</f>
        <v>46412.0</v>
      </c>
      <c r="AG15" s="138">
        <f>AF15+7</f>
        <v>46419.0</v>
      </c>
      <c r="AH15" s="138">
        <f>AG15+7</f>
        <v>46426.0</v>
      </c>
      <c r="AI15" s="138">
        <f>AH15+7</f>
        <v>46433.0</v>
      </c>
      <c r="AJ15" s="138">
        <f>AI15+7</f>
        <v>46440.0</v>
      </c>
      <c r="AK15" s="138">
        <f>AJ15+7</f>
        <v>46447.0</v>
      </c>
    </row>
    <row r="16" ht="34.4" customHeight="true">
      <c r="B16" s="139" t="inlineStr">
        <is>
          <t>T-01</t>
        </is>
      </c>
      <c r="C16" s="58" t="s">
        <v>363</v>
      </c>
      <c r="D16" s="140" t="s">
        <v>364</v>
      </c>
      <c r="E16" s="140" t="s">
        <v>365</v>
      </c>
      <c r="F16" s="141" t="n">
        <v>46272</v>
      </c>
      <c r="G16" s="141" t="n">
        <v>46297</v>
      </c>
      <c r="H16" s="142">
        <f>NETWORKDAYS(F16,G16)</f>
        <v>20</v>
      </c>
      <c r="I16" s="59" t="s">
        <v>353</v>
      </c>
      <c r="J16" s="143" t="n">
        <v>1</v>
      </c>
      <c r="L16" s="144" t="n"/>
      <c r="M16" s="144" t="n"/>
      <c r="N16" s="144" t="n"/>
      <c r="O16" s="144" t="n"/>
      <c r="P16" s="144" t="n"/>
      <c r="Q16" s="144" t="n"/>
      <c r="R16" s="144" t="n"/>
      <c r="S16" s="144" t="n"/>
      <c r="T16" s="144" t="n"/>
      <c r="U16" s="144" t="n"/>
      <c r="V16" s="144" t="n"/>
      <c r="W16" s="144" t="n"/>
      <c r="X16" s="144" t="n"/>
      <c r="Y16" s="144" t="n"/>
      <c r="Z16" s="144" t="n"/>
      <c r="AA16" s="144" t="n"/>
      <c r="AB16" s="144" t="n"/>
      <c r="AC16" s="144" t="n"/>
      <c r="AD16" s="144" t="n"/>
      <c r="AE16" s="144" t="n"/>
      <c r="AF16" s="144" t="n"/>
      <c r="AG16" s="144" t="n"/>
      <c r="AH16" s="144" t="n"/>
      <c r="AI16" s="144" t="n"/>
      <c r="AJ16" s="144" t="n"/>
      <c r="AK16" s="144" t="n"/>
    </row>
    <row r="17" ht="22" customHeight="true">
      <c r="B17" s="139" t="inlineStr">
        <is>
          <t>T-02</t>
        </is>
      </c>
      <c r="C17" s="58" t="s">
        <v>363</v>
      </c>
      <c r="D17" s="140" t="s">
        <v>366</v>
      </c>
      <c r="E17" s="140" t="s">
        <v>365</v>
      </c>
      <c r="F17" s="141" t="n">
        <v>46286</v>
      </c>
      <c r="G17" s="141" t="n">
        <v>46311</v>
      </c>
      <c r="H17" s="142">
        <f>NETWORKDAYS(F17,G17)</f>
        <v>20</v>
      </c>
      <c r="I17" s="59" t="s">
        <v>353</v>
      </c>
      <c r="J17" s="143" t="n">
        <v>1</v>
      </c>
      <c r="L17" s="144" t="n"/>
      <c r="M17" s="144" t="n"/>
      <c r="N17" s="144" t="n"/>
      <c r="O17" s="144" t="n"/>
      <c r="P17" s="144" t="n"/>
      <c r="Q17" s="144" t="n"/>
      <c r="R17" s="144" t="n"/>
      <c r="S17" s="144" t="n"/>
      <c r="T17" s="144" t="n"/>
      <c r="U17" s="144" t="n"/>
      <c r="V17" s="144" t="n"/>
      <c r="W17" s="144" t="n"/>
      <c r="X17" s="144" t="n"/>
      <c r="Y17" s="144" t="n"/>
      <c r="Z17" s="144" t="n"/>
      <c r="AA17" s="144" t="n"/>
      <c r="AB17" s="144" t="n"/>
      <c r="AC17" s="144" t="n"/>
      <c r="AD17" s="144" t="n"/>
      <c r="AE17" s="144" t="n"/>
      <c r="AF17" s="144" t="n"/>
      <c r="AG17" s="144" t="n"/>
      <c r="AH17" s="144" t="n"/>
      <c r="AI17" s="144" t="n"/>
      <c r="AJ17" s="144" t="n"/>
      <c r="AK17" s="144" t="n"/>
    </row>
    <row r="18" ht="34.4" customHeight="true">
      <c r="B18" s="145" t="inlineStr">
        <is>
          <t>M-1</t>
        </is>
      </c>
      <c r="C18" s="145" t="s">
        <v>367</v>
      </c>
      <c r="D18" s="146" t="s">
        <v>368</v>
      </c>
      <c r="E18" s="146" t="s">
        <v>369</v>
      </c>
      <c r="F18" s="147" t="n">
        <v>46311</v>
      </c>
      <c r="G18" s="147" t="n">
        <v>46311</v>
      </c>
      <c r="H18" s="148">
        <f>NETWORKDAYS(F18,G18)</f>
        <v>1</v>
      </c>
      <c r="I18" s="149" t="s">
        <v>353</v>
      </c>
      <c r="J18" s="150" t="n">
        <v>1</v>
      </c>
      <c r="L18" s="151">
        <f>IF(AND(L$15&lt;=$G18,L$15+6&gt;=$F18),"◆","")</f>
      </c>
      <c r="M18" s="151">
        <f>IF(AND(M$15&lt;=$G18,M$15+6&gt;=$F18),"◆","")</f>
      </c>
      <c r="N18" s="151">
        <f>IF(AND(N$15&lt;=$G18,N$15+6&gt;=$F18),"◆","")</f>
      </c>
      <c r="O18" s="151">
        <f>IF(AND(O$15&lt;=$G18,O$15+6&gt;=$F18),"◆","")</f>
      </c>
      <c r="P18" s="151">
        <f>IF(AND(P$15&lt;=$G18,P$15+6&gt;=$F18),"◆","")</f>
      </c>
      <c r="Q18" s="151" t="str">
        <f>IF(AND(Q$15&lt;=$G18,Q$15+6&gt;=$F18),"◆","")</f>
        <v>◆</v>
      </c>
      <c r="R18" s="151">
        <f>IF(AND(R$15&lt;=$G18,R$15+6&gt;=$F18),"◆","")</f>
      </c>
      <c r="S18" s="151">
        <f>IF(AND(S$15&lt;=$G18,S$15+6&gt;=$F18),"◆","")</f>
      </c>
      <c r="T18" s="151">
        <f>IF(AND(T$15&lt;=$G18,T$15+6&gt;=$F18),"◆","")</f>
      </c>
      <c r="U18" s="151">
        <f>IF(AND(U$15&lt;=$G18,U$15+6&gt;=$F18),"◆","")</f>
      </c>
      <c r="V18" s="151">
        <f>IF(AND(V$15&lt;=$G18,V$15+6&gt;=$F18),"◆","")</f>
      </c>
      <c r="W18" s="151">
        <f>IF(AND(W$15&lt;=$G18,W$15+6&gt;=$F18),"◆","")</f>
      </c>
      <c r="X18" s="151">
        <f>IF(AND(X$15&lt;=$G18,X$15+6&gt;=$F18),"◆","")</f>
      </c>
      <c r="Y18" s="151">
        <f>IF(AND(Y$15&lt;=$G18,Y$15+6&gt;=$F18),"◆","")</f>
      </c>
      <c r="Z18" s="151">
        <f>IF(AND(Z$15&lt;=$G18,Z$15+6&gt;=$F18),"◆","")</f>
      </c>
      <c r="AA18" s="151">
        <f>IF(AND(AA$15&lt;=$G18,AA$15+6&gt;=$F18),"◆","")</f>
      </c>
      <c r="AB18" s="151">
        <f>IF(AND(AB$15&lt;=$G18,AB$15+6&gt;=$F18),"◆","")</f>
      </c>
      <c r="AC18" s="151">
        <f>IF(AND(AC$15&lt;=$G18,AC$15+6&gt;=$F18),"◆","")</f>
      </c>
      <c r="AD18" s="151">
        <f>IF(AND(AD$15&lt;=$G18,AD$15+6&gt;=$F18),"◆","")</f>
      </c>
      <c r="AE18" s="151">
        <f>IF(AND(AE$15&lt;=$G18,AE$15+6&gt;=$F18),"◆","")</f>
      </c>
      <c r="AF18" s="151">
        <f>IF(AND(AF$15&lt;=$G18,AF$15+6&gt;=$F18),"◆","")</f>
      </c>
      <c r="AG18" s="151">
        <f>IF(AND(AG$15&lt;=$G18,AG$15+6&gt;=$F18),"◆","")</f>
      </c>
      <c r="AH18" s="151">
        <f>IF(AND(AH$15&lt;=$G18,AH$15+6&gt;=$F18),"◆","")</f>
      </c>
      <c r="AI18" s="151">
        <f>IF(AND(AI$15&lt;=$G18,AI$15+6&gt;=$F18),"◆","")</f>
      </c>
      <c r="AJ18" s="151">
        <f>IF(AND(AJ$15&lt;=$G18,AJ$15+6&gt;=$F18),"◆","")</f>
      </c>
      <c r="AK18" s="151">
        <f>IF(AND(AK$15&lt;=$G18,AK$15+6&gt;=$F18),"◆","")</f>
      </c>
    </row>
    <row r="19" ht="34.4" customHeight="true">
      <c r="B19" s="139" t="inlineStr">
        <is>
          <t>T-03</t>
        </is>
      </c>
      <c r="C19" s="58" t="s">
        <v>370</v>
      </c>
      <c r="D19" s="140" t="s">
        <v>371</v>
      </c>
      <c r="E19" s="140" t="s">
        <v>372</v>
      </c>
      <c r="F19" s="141" t="n">
        <v>46293</v>
      </c>
      <c r="G19" s="141" t="n">
        <v>46346</v>
      </c>
      <c r="H19" s="142">
        <f>NETWORKDAYS(F19,G19)</f>
        <v>40</v>
      </c>
      <c r="I19" s="59" t="s">
        <v>351</v>
      </c>
      <c r="J19" s="143" t="n">
        <v>0.55</v>
      </c>
      <c r="L19" s="144" t="n"/>
      <c r="M19" s="144" t="n"/>
      <c r="N19" s="144" t="n"/>
      <c r="O19" s="144" t="n"/>
      <c r="P19" s="144" t="n"/>
      <c r="Q19" s="144" t="n"/>
      <c r="R19" s="144" t="n"/>
      <c r="S19" s="144" t="n"/>
      <c r="T19" s="144" t="n"/>
      <c r="U19" s="144" t="n"/>
      <c r="V19" s="144" t="n"/>
      <c r="W19" s="144" t="n"/>
      <c r="X19" s="144" t="n"/>
      <c r="Y19" s="144" t="n"/>
      <c r="Z19" s="144" t="n"/>
      <c r="AA19" s="144" t="n"/>
      <c r="AB19" s="144" t="n"/>
      <c r="AC19" s="144" t="n"/>
      <c r="AD19" s="144" t="n"/>
      <c r="AE19" s="144" t="n"/>
      <c r="AF19" s="144" t="n"/>
      <c r="AG19" s="144" t="n"/>
      <c r="AH19" s="144" t="n"/>
      <c r="AI19" s="144" t="n"/>
      <c r="AJ19" s="144" t="n"/>
      <c r="AK19" s="144" t="n"/>
    </row>
    <row r="20" ht="22" customHeight="true">
      <c r="B20" s="139" t="inlineStr">
        <is>
          <t>T-04</t>
        </is>
      </c>
      <c r="C20" s="58" t="s">
        <v>370</v>
      </c>
      <c r="D20" s="140" t="s">
        <v>373</v>
      </c>
      <c r="E20" s="140" t="s">
        <v>372</v>
      </c>
      <c r="F20" s="141" t="n">
        <v>46307</v>
      </c>
      <c r="G20" s="141" t="n">
        <v>46353</v>
      </c>
      <c r="H20" s="142">
        <f>NETWORKDAYS(F20,G20)</f>
        <v>35</v>
      </c>
      <c r="I20" s="59" t="s">
        <v>351</v>
      </c>
      <c r="J20" s="143" t="n">
        <v>0.3</v>
      </c>
      <c r="L20" s="144" t="n"/>
      <c r="M20" s="144" t="n"/>
      <c r="N20" s="144" t="n"/>
      <c r="O20" s="144" t="n"/>
      <c r="P20" s="144" t="n"/>
      <c r="Q20" s="144" t="n"/>
      <c r="R20" s="144" t="n"/>
      <c r="S20" s="144" t="n"/>
      <c r="T20" s="144" t="n"/>
      <c r="U20" s="144" t="n"/>
      <c r="V20" s="144" t="n"/>
      <c r="W20" s="144" t="n"/>
      <c r="X20" s="144" t="n"/>
      <c r="Y20" s="144" t="n"/>
      <c r="Z20" s="144" t="n"/>
      <c r="AA20" s="144" t="n"/>
      <c r="AB20" s="144" t="n"/>
      <c r="AC20" s="144" t="n"/>
      <c r="AD20" s="144" t="n"/>
      <c r="AE20" s="144" t="n"/>
      <c r="AF20" s="144" t="n"/>
      <c r="AG20" s="144" t="n"/>
      <c r="AH20" s="144" t="n"/>
      <c r="AI20" s="144" t="n"/>
      <c r="AJ20" s="144" t="n"/>
      <c r="AK20" s="144" t="n"/>
    </row>
    <row r="21" ht="22" customHeight="true">
      <c r="B21" s="139" t="inlineStr">
        <is>
          <t>T-05</t>
        </is>
      </c>
      <c r="C21" s="58" t="s">
        <v>374</v>
      </c>
      <c r="D21" s="140" t="s">
        <v>375</v>
      </c>
      <c r="E21" s="140" t="inlineStr">
        <is>
          <t>Tom Ashby</t>
        </is>
      </c>
      <c r="F21" s="141" t="n">
        <v>46314</v>
      </c>
      <c r="G21" s="141" t="n">
        <v>46332</v>
      </c>
      <c r="H21" s="142">
        <f>NETWORKDAYS(F21,G21)</f>
        <v>15</v>
      </c>
      <c r="I21" s="59" t="s">
        <v>351</v>
      </c>
      <c r="J21" s="143" t="n">
        <v>0.2</v>
      </c>
      <c r="L21" s="144" t="n"/>
      <c r="M21" s="144" t="n"/>
      <c r="N21" s="144" t="n"/>
      <c r="O21" s="144" t="n"/>
      <c r="P21" s="144" t="n"/>
      <c r="Q21" s="144" t="n"/>
      <c r="R21" s="144" t="n"/>
      <c r="S21" s="144" t="n"/>
      <c r="T21" s="144" t="n"/>
      <c r="U21" s="144" t="n"/>
      <c r="V21" s="144" t="n"/>
      <c r="W21" s="144" t="n"/>
      <c r="X21" s="144" t="n"/>
      <c r="Y21" s="144" t="n"/>
      <c r="Z21" s="144" t="n"/>
      <c r="AA21" s="144" t="n"/>
      <c r="AB21" s="144" t="n"/>
      <c r="AC21" s="144" t="n"/>
      <c r="AD21" s="144" t="n"/>
      <c r="AE21" s="144" t="n"/>
      <c r="AF21" s="144" t="n"/>
      <c r="AG21" s="144" t="n"/>
      <c r="AH21" s="144" t="n"/>
      <c r="AI21" s="144" t="n"/>
      <c r="AJ21" s="144" t="n"/>
      <c r="AK21" s="144" t="n"/>
    </row>
    <row r="22" ht="22" customHeight="true">
      <c r="B22" s="139" t="inlineStr">
        <is>
          <t>T-06</t>
        </is>
      </c>
      <c r="C22" s="58" t="s">
        <v>374</v>
      </c>
      <c r="D22" s="140" t="s">
        <v>376</v>
      </c>
      <c r="E22" s="140" t="inlineStr">
        <is>
          <t>Jonas Weber</t>
        </is>
      </c>
      <c r="F22" s="141" t="n">
        <v>46335</v>
      </c>
      <c r="G22" s="141" t="n">
        <v>46409</v>
      </c>
      <c r="H22" s="142">
        <f>NETWORKDAYS(F22,G22)</f>
        <v>55</v>
      </c>
      <c r="I22" s="59" t="s">
        <v>350</v>
      </c>
      <c r="J22" s="143" t="n">
        <v>0</v>
      </c>
      <c r="L22" s="144" t="n"/>
      <c r="M22" s="144" t="n"/>
      <c r="N22" s="144" t="n"/>
      <c r="O22" s="144" t="n"/>
      <c r="P22" s="144" t="n"/>
      <c r="Q22" s="144" t="n"/>
      <c r="R22" s="144" t="n"/>
      <c r="S22" s="144" t="n"/>
      <c r="T22" s="144" t="n"/>
      <c r="U22" s="144" t="n"/>
      <c r="V22" s="144" t="n"/>
      <c r="W22" s="144" t="n"/>
      <c r="X22" s="144" t="n"/>
      <c r="Y22" s="144" t="n"/>
      <c r="Z22" s="144" t="n"/>
      <c r="AA22" s="144" t="n"/>
      <c r="AB22" s="144" t="n"/>
      <c r="AC22" s="144" t="n"/>
      <c r="AD22" s="144" t="n"/>
      <c r="AE22" s="144" t="n"/>
      <c r="AF22" s="144" t="n"/>
      <c r="AG22" s="144" t="n"/>
      <c r="AH22" s="144" t="n"/>
      <c r="AI22" s="144" t="n"/>
      <c r="AJ22" s="144" t="n"/>
      <c r="AK22" s="144" t="n"/>
    </row>
    <row r="23" ht="34.4" customHeight="true">
      <c r="B23" s="139" t="inlineStr">
        <is>
          <t>T-07</t>
        </is>
      </c>
      <c r="C23" s="58" t="s">
        <v>377</v>
      </c>
      <c r="D23" s="140" t="s">
        <v>378</v>
      </c>
      <c r="E23" s="140" t="inlineStr">
        <is>
          <t>Aiko Mori</t>
        </is>
      </c>
      <c r="F23" s="141" t="n">
        <v>46321</v>
      </c>
      <c r="G23" s="141" t="n">
        <v>46367</v>
      </c>
      <c r="H23" s="142">
        <f>NETWORKDAYS(F23,G23)</f>
        <v>35</v>
      </c>
      <c r="I23" s="59" t="s">
        <v>350</v>
      </c>
      <c r="J23" s="143" t="n">
        <v>0</v>
      </c>
      <c r="L23" s="144" t="n"/>
      <c r="M23" s="144" t="n"/>
      <c r="N23" s="144" t="n"/>
      <c r="O23" s="144" t="n"/>
      <c r="P23" s="144" t="n"/>
      <c r="Q23" s="144" t="n"/>
      <c r="R23" s="144" t="n"/>
      <c r="S23" s="144" t="n"/>
      <c r="T23" s="144" t="n"/>
      <c r="U23" s="144" t="n"/>
      <c r="V23" s="144" t="n"/>
      <c r="W23" s="144" t="n"/>
      <c r="X23" s="144" t="n"/>
      <c r="Y23" s="144" t="n"/>
      <c r="Z23" s="144" t="n"/>
      <c r="AA23" s="144" t="n"/>
      <c r="AB23" s="144" t="n"/>
      <c r="AC23" s="144" t="n"/>
      <c r="AD23" s="144" t="n"/>
      <c r="AE23" s="144" t="n"/>
      <c r="AF23" s="144" t="n"/>
      <c r="AG23" s="144" t="n"/>
      <c r="AH23" s="144" t="n"/>
      <c r="AI23" s="144" t="n"/>
      <c r="AJ23" s="144" t="n"/>
      <c r="AK23" s="144" t="n"/>
    </row>
    <row r="24" ht="34.4" customHeight="true">
      <c r="B24" s="139" t="inlineStr">
        <is>
          <t>T-08</t>
        </is>
      </c>
      <c r="C24" s="58" t="s">
        <v>377</v>
      </c>
      <c r="D24" s="140" t="s">
        <v>379</v>
      </c>
      <c r="E24" s="140" t="inlineStr">
        <is>
          <t>Aiko Mori</t>
        </is>
      </c>
      <c r="F24" s="141" t="n">
        <v>46356</v>
      </c>
      <c r="G24" s="141" t="n">
        <v>46395</v>
      </c>
      <c r="H24" s="142">
        <f>NETWORKDAYS(F24,G24)</f>
        <v>30</v>
      </c>
      <c r="I24" s="59" t="s">
        <v>350</v>
      </c>
      <c r="J24" s="143" t="n">
        <v>0</v>
      </c>
      <c r="L24" s="144" t="n"/>
      <c r="M24" s="144" t="n"/>
      <c r="N24" s="144" t="n"/>
      <c r="O24" s="144" t="n"/>
      <c r="P24" s="144" t="n"/>
      <c r="Q24" s="144" t="n"/>
      <c r="R24" s="144" t="n"/>
      <c r="S24" s="144" t="n"/>
      <c r="T24" s="144" t="n"/>
      <c r="U24" s="144" t="n"/>
      <c r="V24" s="144" t="n"/>
      <c r="W24" s="144" t="n"/>
      <c r="X24" s="144" t="n"/>
      <c r="Y24" s="144" t="n"/>
      <c r="Z24" s="144" t="n"/>
      <c r="AA24" s="144" t="n"/>
      <c r="AB24" s="144" t="n"/>
      <c r="AC24" s="144" t="n"/>
      <c r="AD24" s="144" t="n"/>
      <c r="AE24" s="144" t="n"/>
      <c r="AF24" s="144" t="n"/>
      <c r="AG24" s="144" t="n"/>
      <c r="AH24" s="144" t="n"/>
      <c r="AI24" s="144" t="n"/>
      <c r="AJ24" s="144" t="n"/>
      <c r="AK24" s="144" t="n"/>
    </row>
    <row r="25" ht="22" customHeight="true">
      <c r="B25" s="139" t="inlineStr">
        <is>
          <t>T-09</t>
        </is>
      </c>
      <c r="C25" s="58" t="s">
        <v>380</v>
      </c>
      <c r="D25" s="140" t="s">
        <v>381</v>
      </c>
      <c r="E25" s="140" t="inlineStr">
        <is>
          <t>Lena Brandt</t>
        </is>
      </c>
      <c r="F25" s="141" t="n">
        <v>46300</v>
      </c>
      <c r="G25" s="141" t="n">
        <v>46339</v>
      </c>
      <c r="H25" s="142">
        <f>NETWORKDAYS(F25,G25)</f>
        <v>30</v>
      </c>
      <c r="I25" s="59" t="s">
        <v>352</v>
      </c>
      <c r="J25" s="143" t="n">
        <v>0.4</v>
      </c>
      <c r="L25" s="144" t="n"/>
      <c r="M25" s="144" t="n"/>
      <c r="N25" s="144" t="n"/>
      <c r="O25" s="144" t="n"/>
      <c r="P25" s="144" t="n"/>
      <c r="Q25" s="144" t="n"/>
      <c r="R25" s="144" t="n"/>
      <c r="S25" s="144" t="n"/>
      <c r="T25" s="144" t="n"/>
      <c r="U25" s="144" t="n"/>
      <c r="V25" s="144" t="n"/>
      <c r="W25" s="144" t="n"/>
      <c r="X25" s="144" t="n"/>
      <c r="Y25" s="144" t="n"/>
      <c r="Z25" s="144" t="n"/>
      <c r="AA25" s="144" t="n"/>
      <c r="AB25" s="144" t="n"/>
      <c r="AC25" s="144" t="n"/>
      <c r="AD25" s="144" t="n"/>
      <c r="AE25" s="144" t="n"/>
      <c r="AF25" s="144" t="n"/>
      <c r="AG25" s="144" t="n"/>
      <c r="AH25" s="144" t="n"/>
      <c r="AI25" s="144" t="n"/>
      <c r="AJ25" s="144" t="n"/>
      <c r="AK25" s="144" t="n"/>
    </row>
    <row r="26" ht="34.4" customHeight="true">
      <c r="B26" s="139" t="inlineStr">
        <is>
          <t>T-10</t>
        </is>
      </c>
      <c r="C26" s="58" t="s">
        <v>380</v>
      </c>
      <c r="D26" s="140" t="s">
        <v>382</v>
      </c>
      <c r="E26" s="140" t="inlineStr">
        <is>
          <t>Lena Brandt</t>
        </is>
      </c>
      <c r="F26" s="141" t="n">
        <v>46342</v>
      </c>
      <c r="G26" s="141" t="n">
        <v>46374</v>
      </c>
      <c r="H26" s="142">
        <f>NETWORKDAYS(F26,G26)</f>
        <v>25</v>
      </c>
      <c r="I26" s="59" t="s">
        <v>350</v>
      </c>
      <c r="J26" s="143" t="n">
        <v>0</v>
      </c>
      <c r="L26" s="144" t="n"/>
      <c r="M26" s="144" t="n"/>
      <c r="N26" s="144" t="n"/>
      <c r="O26" s="144" t="n"/>
      <c r="P26" s="144" t="n"/>
      <c r="Q26" s="144" t="n"/>
      <c r="R26" s="144" t="n"/>
      <c r="S26" s="144" t="n"/>
      <c r="T26" s="144" t="n"/>
      <c r="U26" s="144" t="n"/>
      <c r="V26" s="144" t="n"/>
      <c r="W26" s="144" t="n"/>
      <c r="X26" s="144" t="n"/>
      <c r="Y26" s="144" t="n"/>
      <c r="Z26" s="144" t="n"/>
      <c r="AA26" s="144" t="n"/>
      <c r="AB26" s="144" t="n"/>
      <c r="AC26" s="144" t="n"/>
      <c r="AD26" s="144" t="n"/>
      <c r="AE26" s="144" t="n"/>
      <c r="AF26" s="144" t="n"/>
      <c r="AG26" s="144" t="n"/>
      <c r="AH26" s="144" t="n"/>
      <c r="AI26" s="144" t="n"/>
      <c r="AJ26" s="144" t="n"/>
      <c r="AK26" s="144" t="n"/>
    </row>
    <row r="27" ht="34.4" customHeight="true">
      <c r="B27" s="139" t="inlineStr">
        <is>
          <t>T-11</t>
        </is>
      </c>
      <c r="C27" s="58" t="s">
        <v>383</v>
      </c>
      <c r="D27" s="140" t="s">
        <v>384</v>
      </c>
      <c r="E27" s="140" t="inlineStr">
        <is>
          <t>Marcus Hale</t>
        </is>
      </c>
      <c r="F27" s="141" t="n">
        <v>46363</v>
      </c>
      <c r="G27" s="141" t="n">
        <v>46416</v>
      </c>
      <c r="H27" s="142">
        <f>NETWORKDAYS(F27,G27)</f>
        <v>40</v>
      </c>
      <c r="I27" s="59" t="s">
        <v>350</v>
      </c>
      <c r="J27" s="143" t="n">
        <v>0</v>
      </c>
      <c r="L27" s="144" t="n"/>
      <c r="M27" s="144" t="n"/>
      <c r="N27" s="144" t="n"/>
      <c r="O27" s="144" t="n"/>
      <c r="P27" s="144" t="n"/>
      <c r="Q27" s="144" t="n"/>
      <c r="R27" s="144" t="n"/>
      <c r="S27" s="144" t="n"/>
      <c r="T27" s="144" t="n"/>
      <c r="U27" s="144" t="n"/>
      <c r="V27" s="144" t="n"/>
      <c r="W27" s="144" t="n"/>
      <c r="X27" s="144" t="n"/>
      <c r="Y27" s="144" t="n"/>
      <c r="Z27" s="144" t="n"/>
      <c r="AA27" s="144" t="n"/>
      <c r="AB27" s="144" t="n"/>
      <c r="AC27" s="144" t="n"/>
      <c r="AD27" s="144" t="n"/>
      <c r="AE27" s="144" t="n"/>
      <c r="AF27" s="144" t="n"/>
      <c r="AG27" s="144" t="n"/>
      <c r="AH27" s="144" t="n"/>
      <c r="AI27" s="144" t="n"/>
      <c r="AJ27" s="144" t="n"/>
      <c r="AK27" s="144" t="n"/>
    </row>
    <row r="28" ht="34.4" customHeight="true">
      <c r="B28" s="139" t="inlineStr">
        <is>
          <t>T-12</t>
        </is>
      </c>
      <c r="C28" s="58" t="s">
        <v>249</v>
      </c>
      <c r="D28" s="140" t="s">
        <v>385</v>
      </c>
      <c r="E28" s="140" t="inlineStr">
        <is>
          <t>Daniel Okafor</t>
        </is>
      </c>
      <c r="F28" s="141" t="n">
        <v>46314</v>
      </c>
      <c r="G28" s="141" t="n">
        <v>46416</v>
      </c>
      <c r="H28" s="142">
        <f>NETWORKDAYS(F28,G28)</f>
        <v>75</v>
      </c>
      <c r="I28" s="59" t="s">
        <v>351</v>
      </c>
      <c r="J28" s="143" t="n">
        <v>0.1</v>
      </c>
      <c r="L28" s="144" t="n"/>
      <c r="M28" s="144" t="n"/>
      <c r="N28" s="144" t="n"/>
      <c r="O28" s="144" t="n"/>
      <c r="P28" s="144" t="n"/>
      <c r="Q28" s="144" t="n"/>
      <c r="R28" s="144" t="n"/>
      <c r="S28" s="144" t="n"/>
      <c r="T28" s="144" t="n"/>
      <c r="U28" s="144" t="n"/>
      <c r="V28" s="144" t="n"/>
      <c r="W28" s="144" t="n"/>
      <c r="X28" s="144" t="n"/>
      <c r="Y28" s="144" t="n"/>
      <c r="Z28" s="144" t="n"/>
      <c r="AA28" s="144" t="n"/>
      <c r="AB28" s="144" t="n"/>
      <c r="AC28" s="144" t="n"/>
      <c r="AD28" s="144" t="n"/>
      <c r="AE28" s="144" t="n"/>
      <c r="AF28" s="144" t="n"/>
      <c r="AG28" s="144" t="n"/>
      <c r="AH28" s="144" t="n"/>
      <c r="AI28" s="144" t="n"/>
      <c r="AJ28" s="144" t="n"/>
      <c r="AK28" s="144" t="n"/>
    </row>
    <row r="29" ht="34.4" customHeight="true">
      <c r="B29" s="139" t="inlineStr">
        <is>
          <t>T-13</t>
        </is>
      </c>
      <c r="C29" s="58" t="s">
        <v>249</v>
      </c>
      <c r="D29" s="140" t="s">
        <v>386</v>
      </c>
      <c r="E29" s="140" t="inlineStr">
        <is>
          <t>Daniel Okafor</t>
        </is>
      </c>
      <c r="F29" s="141" t="n">
        <v>46370</v>
      </c>
      <c r="G29" s="141" t="n">
        <v>46409</v>
      </c>
      <c r="H29" s="142">
        <f>NETWORKDAYS(F29,G29)</f>
        <v>30</v>
      </c>
      <c r="I29" s="59" t="s">
        <v>350</v>
      </c>
      <c r="J29" s="143" t="n">
        <v>0</v>
      </c>
      <c r="L29" s="144" t="n"/>
      <c r="M29" s="144" t="n"/>
      <c r="N29" s="144" t="n"/>
      <c r="O29" s="144" t="n"/>
      <c r="P29" s="144" t="n"/>
      <c r="Q29" s="144" t="n"/>
      <c r="R29" s="144" t="n"/>
      <c r="S29" s="144" t="n"/>
      <c r="T29" s="144" t="n"/>
      <c r="U29" s="144" t="n"/>
      <c r="V29" s="144" t="n"/>
      <c r="W29" s="144" t="n"/>
      <c r="X29" s="144" t="n"/>
      <c r="Y29" s="144" t="n"/>
      <c r="Z29" s="144" t="n"/>
      <c r="AA29" s="144" t="n"/>
      <c r="AB29" s="144" t="n"/>
      <c r="AC29" s="144" t="n"/>
      <c r="AD29" s="144" t="n"/>
      <c r="AE29" s="144" t="n"/>
      <c r="AF29" s="144" t="n"/>
      <c r="AG29" s="144" t="n"/>
      <c r="AH29" s="144" t="n"/>
      <c r="AI29" s="144" t="n"/>
      <c r="AJ29" s="144" t="n"/>
      <c r="AK29" s="144" t="n"/>
    </row>
    <row r="30" ht="22" customHeight="true">
      <c r="B30" s="139" t="inlineStr">
        <is>
          <t>T-14</t>
        </is>
      </c>
      <c r="C30" s="58" t="s">
        <v>387</v>
      </c>
      <c r="D30" s="140" t="s">
        <v>388</v>
      </c>
      <c r="E30" s="140" t="inlineStr">
        <is>
          <t>Jonas Weber</t>
        </is>
      </c>
      <c r="F30" s="141" t="n">
        <v>46391</v>
      </c>
      <c r="G30" s="141" t="n">
        <v>46423</v>
      </c>
      <c r="H30" s="142">
        <f>NETWORKDAYS(F30,G30)</f>
        <v>25</v>
      </c>
      <c r="I30" s="59" t="s">
        <v>350</v>
      </c>
      <c r="J30" s="143" t="n">
        <v>0</v>
      </c>
      <c r="L30" s="144" t="n"/>
      <c r="M30" s="144" t="n"/>
      <c r="N30" s="144" t="n"/>
      <c r="O30" s="144" t="n"/>
      <c r="P30" s="144" t="n"/>
      <c r="Q30" s="144" t="n"/>
      <c r="R30" s="144" t="n"/>
      <c r="S30" s="144" t="n"/>
      <c r="T30" s="144" t="n"/>
      <c r="U30" s="144" t="n"/>
      <c r="V30" s="144" t="n"/>
      <c r="W30" s="144" t="n"/>
      <c r="X30" s="144" t="n"/>
      <c r="Y30" s="144" t="n"/>
      <c r="Z30" s="144" t="n"/>
      <c r="AA30" s="144" t="n"/>
      <c r="AB30" s="144" t="n"/>
      <c r="AC30" s="144" t="n"/>
      <c r="AD30" s="144" t="n"/>
      <c r="AE30" s="144" t="n"/>
      <c r="AF30" s="144" t="n"/>
      <c r="AG30" s="144" t="n"/>
      <c r="AH30" s="144" t="n"/>
      <c r="AI30" s="144" t="n"/>
      <c r="AJ30" s="144" t="n"/>
      <c r="AK30" s="144" t="n"/>
    </row>
    <row r="31" ht="22" customHeight="true">
      <c r="B31" s="145" t="inlineStr">
        <is>
          <t>M-2</t>
        </is>
      </c>
      <c r="C31" s="145" t="s">
        <v>367</v>
      </c>
      <c r="D31" s="146" t="s">
        <v>389</v>
      </c>
      <c r="E31" s="146" t="inlineStr">
        <is>
          <t>Tom Ashby</t>
        </is>
      </c>
      <c r="F31" s="147" t="n">
        <v>46430</v>
      </c>
      <c r="G31" s="147" t="n">
        <v>46430</v>
      </c>
      <c r="H31" s="148">
        <f>NETWORKDAYS(F31,G31)</f>
        <v>1</v>
      </c>
      <c r="I31" s="149" t="s">
        <v>350</v>
      </c>
      <c r="J31" s="150" t="n">
        <v>0</v>
      </c>
      <c r="L31" s="151">
        <f>IF(AND(L$15&lt;=$G31,L$15+6&gt;=$F31),"◆","")</f>
      </c>
      <c r="M31" s="151">
        <f>IF(AND(M$15&lt;=$G31,M$15+6&gt;=$F31),"◆","")</f>
      </c>
      <c r="N31" s="151">
        <f>IF(AND(N$15&lt;=$G31,N$15+6&gt;=$F31),"◆","")</f>
      </c>
      <c r="O31" s="151">
        <f>IF(AND(O$15&lt;=$G31,O$15+6&gt;=$F31),"◆","")</f>
      </c>
      <c r="P31" s="151">
        <f>IF(AND(P$15&lt;=$G31,P$15+6&gt;=$F31),"◆","")</f>
      </c>
      <c r="Q31" s="151">
        <f>IF(AND(Q$15&lt;=$G31,Q$15+6&gt;=$F31),"◆","")</f>
      </c>
      <c r="R31" s="151">
        <f>IF(AND(R$15&lt;=$G31,R$15+6&gt;=$F31),"◆","")</f>
      </c>
      <c r="S31" s="151">
        <f>IF(AND(S$15&lt;=$G31,S$15+6&gt;=$F31),"◆","")</f>
      </c>
      <c r="T31" s="151">
        <f>IF(AND(T$15&lt;=$G31,T$15+6&gt;=$F31),"◆","")</f>
      </c>
      <c r="U31" s="151">
        <f>IF(AND(U$15&lt;=$G31,U$15+6&gt;=$F31),"◆","")</f>
      </c>
      <c r="V31" s="151">
        <f>IF(AND(V$15&lt;=$G31,V$15+6&gt;=$F31),"◆","")</f>
      </c>
      <c r="W31" s="151">
        <f>IF(AND(W$15&lt;=$G31,W$15+6&gt;=$F31),"◆","")</f>
      </c>
      <c r="X31" s="151">
        <f>IF(AND(X$15&lt;=$G31,X$15+6&gt;=$F31),"◆","")</f>
      </c>
      <c r="Y31" s="151">
        <f>IF(AND(Y$15&lt;=$G31,Y$15+6&gt;=$F31),"◆","")</f>
      </c>
      <c r="Z31" s="151">
        <f>IF(AND(Z$15&lt;=$G31,Z$15+6&gt;=$F31),"◆","")</f>
      </c>
      <c r="AA31" s="151">
        <f>IF(AND(AA$15&lt;=$G31,AA$15+6&gt;=$F31),"◆","")</f>
      </c>
      <c r="AB31" s="151">
        <f>IF(AND(AB$15&lt;=$G31,AB$15+6&gt;=$F31),"◆","")</f>
      </c>
      <c r="AC31" s="151">
        <f>IF(AND(AC$15&lt;=$G31,AC$15+6&gt;=$F31),"◆","")</f>
      </c>
      <c r="AD31" s="151">
        <f>IF(AND(AD$15&lt;=$G31,AD$15+6&gt;=$F31),"◆","")</f>
      </c>
      <c r="AE31" s="151">
        <f>IF(AND(AE$15&lt;=$G31,AE$15+6&gt;=$F31),"◆","")</f>
      </c>
      <c r="AF31" s="151">
        <f>IF(AND(AF$15&lt;=$G31,AF$15+6&gt;=$F31),"◆","")</f>
      </c>
      <c r="AG31" s="151">
        <f>IF(AND(AG$15&lt;=$G31,AG$15+6&gt;=$F31),"◆","")</f>
      </c>
      <c r="AH31" s="151" t="str">
        <f>IF(AND(AH$15&lt;=$G31,AH$15+6&gt;=$F31),"◆","")</f>
        <v>◆</v>
      </c>
      <c r="AI31" s="151">
        <f>IF(AND(AI$15&lt;=$G31,AI$15+6&gt;=$F31),"◆","")</f>
      </c>
      <c r="AJ31" s="151">
        <f>IF(AND(AJ$15&lt;=$G31,AJ$15+6&gt;=$F31),"◆","")</f>
      </c>
      <c r="AK31" s="151">
        <f>IF(AND(AK$15&lt;=$G31,AK$15+6&gt;=$F31),"◆","")</f>
      </c>
    </row>
    <row r="32" ht="22" customHeight="true">
      <c r="B32" s="139" t="inlineStr">
        <is>
          <t>T-15</t>
        </is>
      </c>
      <c r="C32" s="58" t="s">
        <v>390</v>
      </c>
      <c r="D32" s="140" t="s">
        <v>391</v>
      </c>
      <c r="E32" s="140" t="s">
        <v>365</v>
      </c>
      <c r="F32" s="141" t="n">
        <v>46433</v>
      </c>
      <c r="G32" s="141" t="n">
        <v>46437</v>
      </c>
      <c r="H32" s="142">
        <f>NETWORKDAYS(F32,G32)</f>
        <v>5</v>
      </c>
      <c r="I32" s="59" t="s">
        <v>350</v>
      </c>
      <c r="J32" s="143" t="n">
        <v>0</v>
      </c>
      <c r="L32" s="144" t="n"/>
      <c r="M32" s="144" t="n"/>
      <c r="N32" s="144" t="n"/>
      <c r="O32" s="144" t="n"/>
      <c r="P32" s="144" t="n"/>
      <c r="Q32" s="144" t="n"/>
      <c r="R32" s="144" t="n"/>
      <c r="S32" s="144" t="n"/>
      <c r="T32" s="144" t="n"/>
      <c r="U32" s="144" t="n"/>
      <c r="V32" s="144" t="n"/>
      <c r="W32" s="144" t="n"/>
      <c r="X32" s="144" t="n"/>
      <c r="Y32" s="144" t="n"/>
      <c r="Z32" s="144" t="n"/>
      <c r="AA32" s="144" t="n"/>
      <c r="AB32" s="144" t="n"/>
      <c r="AC32" s="144" t="n"/>
      <c r="AD32" s="144" t="n"/>
      <c r="AE32" s="144" t="n"/>
      <c r="AF32" s="144" t="n"/>
      <c r="AG32" s="144" t="n"/>
      <c r="AH32" s="144" t="n"/>
      <c r="AI32" s="144" t="n"/>
      <c r="AJ32" s="144" t="n"/>
      <c r="AK32" s="144" t="n"/>
    </row>
    <row r="33" ht="34.4" customHeight="true">
      <c r="B33" s="145" t="inlineStr">
        <is>
          <t>M-3</t>
        </is>
      </c>
      <c r="C33" s="145" t="s">
        <v>367</v>
      </c>
      <c r="D33" s="146" t="s">
        <v>392</v>
      </c>
      <c r="E33" s="146" t="s">
        <v>369</v>
      </c>
      <c r="F33" s="147" t="n">
        <v>46447</v>
      </c>
      <c r="G33" s="147" t="n">
        <v>46447</v>
      </c>
      <c r="H33" s="148">
        <f>NETWORKDAYS(F33,G33)</f>
        <v>1</v>
      </c>
      <c r="I33" s="149" t="s">
        <v>350</v>
      </c>
      <c r="J33" s="150" t="n">
        <v>0</v>
      </c>
      <c r="L33" s="151">
        <f>IF(AND(L$15&lt;=$G33,L$15+6&gt;=$F33),"◆","")</f>
      </c>
      <c r="M33" s="151">
        <f>IF(AND(M$15&lt;=$G33,M$15+6&gt;=$F33),"◆","")</f>
      </c>
      <c r="N33" s="151">
        <f>IF(AND(N$15&lt;=$G33,N$15+6&gt;=$F33),"◆","")</f>
      </c>
      <c r="O33" s="151">
        <f>IF(AND(O$15&lt;=$G33,O$15+6&gt;=$F33),"◆","")</f>
      </c>
      <c r="P33" s="151">
        <f>IF(AND(P$15&lt;=$G33,P$15+6&gt;=$F33),"◆","")</f>
      </c>
      <c r="Q33" s="151">
        <f>IF(AND(Q$15&lt;=$G33,Q$15+6&gt;=$F33),"◆","")</f>
      </c>
      <c r="R33" s="151">
        <f>IF(AND(R$15&lt;=$G33,R$15+6&gt;=$F33),"◆","")</f>
      </c>
      <c r="S33" s="151">
        <f>IF(AND(S$15&lt;=$G33,S$15+6&gt;=$F33),"◆","")</f>
      </c>
      <c r="T33" s="151">
        <f>IF(AND(T$15&lt;=$G33,T$15+6&gt;=$F33),"◆","")</f>
      </c>
      <c r="U33" s="151">
        <f>IF(AND(U$15&lt;=$G33,U$15+6&gt;=$F33),"◆","")</f>
      </c>
      <c r="V33" s="151">
        <f>IF(AND(V$15&lt;=$G33,V$15+6&gt;=$F33),"◆","")</f>
      </c>
      <c r="W33" s="151">
        <f>IF(AND(W$15&lt;=$G33,W$15+6&gt;=$F33),"◆","")</f>
      </c>
      <c r="X33" s="151">
        <f>IF(AND(X$15&lt;=$G33,X$15+6&gt;=$F33),"◆","")</f>
      </c>
      <c r="Y33" s="151">
        <f>IF(AND(Y$15&lt;=$G33,Y$15+6&gt;=$F33),"◆","")</f>
      </c>
      <c r="Z33" s="151">
        <f>IF(AND(Z$15&lt;=$G33,Z$15+6&gt;=$F33),"◆","")</f>
      </c>
      <c r="AA33" s="151">
        <f>IF(AND(AA$15&lt;=$G33,AA$15+6&gt;=$F33),"◆","")</f>
      </c>
      <c r="AB33" s="151">
        <f>IF(AND(AB$15&lt;=$G33,AB$15+6&gt;=$F33),"◆","")</f>
      </c>
      <c r="AC33" s="151">
        <f>IF(AND(AC$15&lt;=$G33,AC$15+6&gt;=$F33),"◆","")</f>
      </c>
      <c r="AD33" s="151">
        <f>IF(AND(AD$15&lt;=$G33,AD$15+6&gt;=$F33),"◆","")</f>
      </c>
      <c r="AE33" s="151">
        <f>IF(AND(AE$15&lt;=$G33,AE$15+6&gt;=$F33),"◆","")</f>
      </c>
      <c r="AF33" s="151">
        <f>IF(AND(AF$15&lt;=$G33,AF$15+6&gt;=$F33),"◆","")</f>
      </c>
      <c r="AG33" s="151">
        <f>IF(AND(AG$15&lt;=$G33,AG$15+6&gt;=$F33),"◆","")</f>
      </c>
      <c r="AH33" s="151">
        <f>IF(AND(AH$15&lt;=$G33,AH$15+6&gt;=$F33),"◆","")</f>
      </c>
      <c r="AI33" s="151">
        <f>IF(AND(AI$15&lt;=$G33,AI$15+6&gt;=$F33),"◆","")</f>
      </c>
      <c r="AJ33" s="151">
        <f>IF(AND(AJ$15&lt;=$G33,AJ$15+6&gt;=$F33),"◆","")</f>
      </c>
      <c r="AK33" s="151" t="str">
        <f>IF(AND(AK$15&lt;=$G33,AK$15+6&gt;=$F33),"◆","")</f>
        <v>◆</v>
      </c>
    </row>
    <row r="34" ht="14" customHeight="true"/>
    <row r="35" ht="26" customHeight="true">
      <c r="B35" s="21" t="s">
        <v>393</v>
      </c>
      <c r="C35" s="22" t="n"/>
      <c r="D35" s="22" t="n"/>
      <c r="E35" s="22" t="n"/>
      <c r="F35" s="22" t="n"/>
      <c r="G35" s="22" t="n"/>
      <c r="H35" s="22" t="n"/>
      <c r="I35" s="22" t="n"/>
      <c r="J35" s="22" t="n"/>
      <c r="K35" s="22" t="n"/>
      <c r="L35" s="22" t="n"/>
      <c r="M35" s="22" t="n"/>
      <c r="N35" s="22" t="n"/>
      <c r="O35" s="22" t="n"/>
      <c r="P35" s="22" t="n"/>
      <c r="Q35" s="22" t="n"/>
      <c r="R35" s="22" t="n"/>
      <c r="S35" s="22" t="n"/>
      <c r="T35" s="22" t="n"/>
      <c r="U35" s="22" t="n"/>
      <c r="V35" s="22" t="n"/>
      <c r="W35" s="22" t="n"/>
      <c r="X35" s="22" t="n"/>
      <c r="Y35" s="22" t="n"/>
      <c r="Z35" s="22" t="n"/>
      <c r="AA35" s="22" t="n"/>
      <c r="AB35" s="22" t="n"/>
      <c r="AC35" s="22" t="n"/>
      <c r="AD35" s="22" t="n"/>
      <c r="AE35" s="22" t="n"/>
      <c r="AF35" s="22" t="n"/>
      <c r="AG35" s="22" t="n"/>
      <c r="AH35" s="22" t="n"/>
      <c r="AI35" s="22" t="n"/>
      <c r="AJ35" s="22" t="n"/>
      <c r="AK35" s="22" t="n"/>
    </row>
    <row r="36" ht="24" customHeight="true">
      <c r="B36" s="23" t="inlineStr">
        <is>
          <t>ID</t>
        </is>
      </c>
      <c r="C36" s="23" t="s">
        <v>356</v>
      </c>
      <c r="E36" s="23" t="s">
        <v>394</v>
      </c>
      <c r="L36" s="23" t="s">
        <v>395</v>
      </c>
    </row>
    <row r="37" ht="49.6" customHeight="true">
      <c r="B37" s="152" t="str">
        <f>B16</f>
        <v>T-01</v>
      </c>
      <c r="C37" s="153" t="str">
        <f>D16</f>
        <v>Finalise Coastline range and costed bills of materials</v>
      </c>
      <c r="D37" s="31" t="n"/>
      <c r="E37" s="71" t="s">
        <v>396</v>
      </c>
      <c r="F37" s="31" t="n"/>
      <c r="G37" s="31" t="n"/>
      <c r="H37" s="31" t="n"/>
      <c r="I37" s="31" t="n"/>
      <c r="J37" s="31" t="n"/>
      <c r="K37" s="154" t="n"/>
      <c r="L37" s="71" t="s">
        <v>397</v>
      </c>
      <c r="M37" s="31" t="n"/>
      <c r="N37" s="31" t="n"/>
      <c r="O37" s="31" t="n"/>
      <c r="P37" s="31" t="n"/>
      <c r="Q37" s="31" t="n"/>
      <c r="R37" s="31" t="n"/>
      <c r="S37" s="31" t="n"/>
      <c r="T37" s="31" t="n"/>
      <c r="U37" s="31" t="n"/>
      <c r="V37" s="31" t="n"/>
      <c r="W37" s="31" t="n"/>
      <c r="X37" s="31" t="n"/>
      <c r="Y37" s="31" t="n"/>
      <c r="Z37" s="31" t="n"/>
      <c r="AA37" s="31" t="n"/>
      <c r="AB37" s="31" t="n"/>
      <c r="AC37" s="31" t="n"/>
      <c r="AD37" s="31" t="n"/>
      <c r="AE37" s="31" t="n"/>
      <c r="AF37" s="31" t="n"/>
      <c r="AG37" s="31" t="n"/>
      <c r="AH37" s="31" t="n"/>
      <c r="AI37" s="31" t="n"/>
      <c r="AJ37" s="31" t="n"/>
      <c r="AK37" s="31" t="n"/>
    </row>
    <row r="38" ht="49.6" customHeight="true">
      <c r="B38" s="155" t="str">
        <f>B17</f>
        <v>T-02</v>
      </c>
      <c r="C38" s="156" t="str">
        <f>D17</f>
        <v>Approve pre-production samples</v>
      </c>
      <c r="D38" s="31" t="n"/>
      <c r="E38" s="73" t="s">
        <v>398</v>
      </c>
      <c r="F38" s="31" t="n"/>
      <c r="G38" s="31" t="n"/>
      <c r="H38" s="31" t="n"/>
      <c r="I38" s="31" t="n"/>
      <c r="J38" s="31" t="n"/>
      <c r="K38" s="157" t="n"/>
      <c r="L38" s="73" t="s">
        <v>399</v>
      </c>
      <c r="M38" s="31" t="n"/>
      <c r="N38" s="31" t="n"/>
      <c r="O38" s="31" t="n"/>
      <c r="P38" s="31" t="n"/>
      <c r="Q38" s="31" t="n"/>
      <c r="R38" s="31" t="n"/>
      <c r="S38" s="31" t="n"/>
      <c r="T38" s="31" t="n"/>
      <c r="U38" s="31" t="n"/>
      <c r="V38" s="31" t="n"/>
      <c r="W38" s="31" t="n"/>
      <c r="X38" s="31" t="n"/>
      <c r="Y38" s="31" t="n"/>
      <c r="Z38" s="31" t="n"/>
      <c r="AA38" s="31" t="n"/>
      <c r="AB38" s="31" t="n"/>
      <c r="AC38" s="31" t="n"/>
      <c r="AD38" s="31" t="n"/>
      <c r="AE38" s="31" t="n"/>
      <c r="AF38" s="31" t="n"/>
      <c r="AG38" s="31" t="n"/>
      <c r="AH38" s="31" t="n"/>
      <c r="AI38" s="31" t="n"/>
      <c r="AJ38" s="31" t="n"/>
      <c r="AK38" s="31" t="n"/>
    </row>
    <row r="39" ht="49.6" customHeight="true">
      <c r="B39" s="152" t="str">
        <f>B19</f>
        <v>T-03</v>
      </c>
      <c r="C39" s="153" t="str">
        <f>D19</f>
        <v>Electrical certification for lighting (CE, UKCA, UL, PSE)</v>
      </c>
      <c r="D39" s="31" t="n"/>
      <c r="E39" s="71" t="s">
        <v>400</v>
      </c>
      <c r="F39" s="31" t="n"/>
      <c r="G39" s="31" t="n"/>
      <c r="H39" s="31" t="n"/>
      <c r="I39" s="31" t="n"/>
      <c r="J39" s="31" t="n"/>
      <c r="K39" s="154" t="n"/>
      <c r="L39" s="71" t="s">
        <v>401</v>
      </c>
      <c r="M39" s="31" t="n"/>
      <c r="N39" s="31" t="n"/>
      <c r="O39" s="31" t="n"/>
      <c r="P39" s="31" t="n"/>
      <c r="Q39" s="31" t="n"/>
      <c r="R39" s="31" t="n"/>
      <c r="S39" s="31" t="n"/>
      <c r="T39" s="31" t="n"/>
      <c r="U39" s="31" t="n"/>
      <c r="V39" s="31" t="n"/>
      <c r="W39" s="31" t="n"/>
      <c r="X39" s="31" t="n"/>
      <c r="Y39" s="31" t="n"/>
      <c r="Z39" s="31" t="n"/>
      <c r="AA39" s="31" t="n"/>
      <c r="AB39" s="31" t="n"/>
      <c r="AC39" s="31" t="n"/>
      <c r="AD39" s="31" t="n"/>
      <c r="AE39" s="31" t="n"/>
      <c r="AF39" s="31" t="n"/>
      <c r="AG39" s="31" t="n"/>
      <c r="AH39" s="31" t="n"/>
      <c r="AI39" s="31" t="n"/>
      <c r="AJ39" s="31" t="n"/>
      <c r="AK39" s="31" t="n"/>
    </row>
    <row r="40" ht="36.4" customHeight="true">
      <c r="B40" s="155" t="str">
        <f>B20</f>
        <v>T-04</v>
      </c>
      <c r="C40" s="156" t="str">
        <f>D20</f>
        <v>Textile and food-contact testing</v>
      </c>
      <c r="D40" s="31" t="n"/>
      <c r="E40" s="73" t="s">
        <v>402</v>
      </c>
      <c r="F40" s="31" t="n"/>
      <c r="G40" s="31" t="n"/>
      <c r="H40" s="31" t="n"/>
      <c r="I40" s="31" t="n"/>
      <c r="J40" s="31" t="n"/>
      <c r="K40" s="157" t="n"/>
      <c r="L40" s="73" t="s">
        <v>403</v>
      </c>
      <c r="M40" s="31" t="n"/>
      <c r="N40" s="31" t="n"/>
      <c r="O40" s="31" t="n"/>
      <c r="P40" s="31" t="n"/>
      <c r="Q40" s="31" t="n"/>
      <c r="R40" s="31" t="n"/>
      <c r="S40" s="31" t="n"/>
      <c r="T40" s="31" t="n"/>
      <c r="U40" s="31" t="n"/>
      <c r="V40" s="31" t="n"/>
      <c r="W40" s="31" t="n"/>
      <c r="X40" s="31" t="n"/>
      <c r="Y40" s="31" t="n"/>
      <c r="Z40" s="31" t="n"/>
      <c r="AA40" s="31" t="n"/>
      <c r="AB40" s="31" t="n"/>
      <c r="AC40" s="31" t="n"/>
      <c r="AD40" s="31" t="n"/>
      <c r="AE40" s="31" t="n"/>
      <c r="AF40" s="31" t="n"/>
      <c r="AG40" s="31" t="n"/>
      <c r="AH40" s="31" t="n"/>
      <c r="AI40" s="31" t="n"/>
      <c r="AJ40" s="31" t="n"/>
      <c r="AK40" s="31" t="n"/>
    </row>
    <row r="41" ht="49.6" customHeight="true">
      <c r="B41" s="152" t="str">
        <f>B21</f>
        <v>T-05</v>
      </c>
      <c r="C41" s="153" t="str">
        <f>D21</f>
        <v>Place initial production orders</v>
      </c>
      <c r="D41" s="31" t="n"/>
      <c r="E41" s="71" t="s">
        <v>404</v>
      </c>
      <c r="F41" s="31" t="n"/>
      <c r="G41" s="31" t="n"/>
      <c r="H41" s="31" t="n"/>
      <c r="I41" s="31" t="n"/>
      <c r="J41" s="31" t="n"/>
      <c r="K41" s="154" t="n"/>
      <c r="L41" s="71" t="s">
        <v>405</v>
      </c>
      <c r="M41" s="31" t="n"/>
      <c r="N41" s="31" t="n"/>
      <c r="O41" s="31" t="n"/>
      <c r="P41" s="31" t="n"/>
      <c r="Q41" s="31" t="n"/>
      <c r="R41" s="31" t="n"/>
      <c r="S41" s="31" t="n"/>
      <c r="T41" s="31" t="n"/>
      <c r="U41" s="31" t="n"/>
      <c r="V41" s="31" t="n"/>
      <c r="W41" s="31" t="n"/>
      <c r="X41" s="31" t="n"/>
      <c r="Y41" s="31" t="n"/>
      <c r="Z41" s="31" t="n"/>
      <c r="AA41" s="31" t="n"/>
      <c r="AB41" s="31" t="n"/>
      <c r="AC41" s="31" t="n"/>
      <c r="AD41" s="31" t="n"/>
      <c r="AE41" s="31" t="n"/>
      <c r="AF41" s="31" t="n"/>
      <c r="AG41" s="31" t="n"/>
      <c r="AH41" s="31" t="n"/>
      <c r="AI41" s="31" t="n"/>
      <c r="AJ41" s="31" t="n"/>
      <c r="AK41" s="31" t="n"/>
    </row>
    <row r="42" ht="49.6" customHeight="true">
      <c r="B42" s="155" t="str">
        <f>B22</f>
        <v>T-06</v>
      </c>
      <c r="C42" s="156" t="str">
        <f>D22</f>
        <v>Inbound freight and DC allocation</v>
      </c>
      <c r="D42" s="31" t="n"/>
      <c r="E42" s="73" t="s">
        <v>406</v>
      </c>
      <c r="F42" s="31" t="n"/>
      <c r="G42" s="31" t="n"/>
      <c r="H42" s="31" t="n"/>
      <c r="I42" s="31" t="n"/>
      <c r="J42" s="31" t="n"/>
      <c r="K42" s="157" t="n"/>
      <c r="L42" s="73" t="s">
        <v>407</v>
      </c>
      <c r="M42" s="31" t="n"/>
      <c r="N42" s="31" t="n"/>
      <c r="O42" s="31" t="n"/>
      <c r="P42" s="31" t="n"/>
      <c r="Q42" s="31" t="n"/>
      <c r="R42" s="31" t="n"/>
      <c r="S42" s="31" t="n"/>
      <c r="T42" s="31" t="n"/>
      <c r="U42" s="31" t="n"/>
      <c r="V42" s="31" t="n"/>
      <c r="W42" s="31" t="n"/>
      <c r="X42" s="31" t="n"/>
      <c r="Y42" s="31" t="n"/>
      <c r="Z42" s="31" t="n"/>
      <c r="AA42" s="31" t="n"/>
      <c r="AB42" s="31" t="n"/>
      <c r="AC42" s="31" t="n"/>
      <c r="AD42" s="31" t="n"/>
      <c r="AE42" s="31" t="n"/>
      <c r="AF42" s="31" t="n"/>
      <c r="AG42" s="31" t="n"/>
      <c r="AH42" s="31" t="n"/>
      <c r="AI42" s="31" t="n"/>
      <c r="AJ42" s="31" t="n"/>
      <c r="AK42" s="31" t="n"/>
    </row>
    <row r="43" ht="62.8" customHeight="true">
      <c r="B43" s="152" t="str">
        <f>B23</f>
        <v>T-07</v>
      </c>
      <c r="C43" s="153" t="str">
        <f>D23</f>
        <v>Translate product content into German, French, Japanese and Swedish</v>
      </c>
      <c r="D43" s="31" t="n"/>
      <c r="E43" s="71" t="s">
        <v>408</v>
      </c>
      <c r="F43" s="31" t="n"/>
      <c r="G43" s="31" t="n"/>
      <c r="H43" s="31" t="n"/>
      <c r="I43" s="31" t="n"/>
      <c r="J43" s="31" t="n"/>
      <c r="K43" s="154" t="n"/>
      <c r="L43" s="71" t="s">
        <v>409</v>
      </c>
      <c r="M43" s="31" t="n"/>
      <c r="N43" s="31" t="n"/>
      <c r="O43" s="31" t="n"/>
      <c r="P43" s="31" t="n"/>
      <c r="Q43" s="31" t="n"/>
      <c r="R43" s="31" t="n"/>
      <c r="S43" s="31" t="n"/>
      <c r="T43" s="31" t="n"/>
      <c r="U43" s="31" t="n"/>
      <c r="V43" s="31" t="n"/>
      <c r="W43" s="31" t="n"/>
      <c r="X43" s="31" t="n"/>
      <c r="Y43" s="31" t="n"/>
      <c r="Z43" s="31" t="n"/>
      <c r="AA43" s="31" t="n"/>
      <c r="AB43" s="31" t="n"/>
      <c r="AC43" s="31" t="n"/>
      <c r="AD43" s="31" t="n"/>
      <c r="AE43" s="31" t="n"/>
      <c r="AF43" s="31" t="n"/>
      <c r="AG43" s="31" t="n"/>
      <c r="AH43" s="31" t="n"/>
      <c r="AI43" s="31" t="n"/>
      <c r="AJ43" s="31" t="n"/>
      <c r="AK43" s="31" t="n"/>
    </row>
    <row r="44" ht="49.6" customHeight="true">
      <c r="B44" s="155" t="str">
        <f>B24</f>
        <v>T-08</v>
      </c>
      <c r="C44" s="156" t="str">
        <f>D24</f>
        <v>Localise packaging and care-card artwork</v>
      </c>
      <c r="D44" s="31" t="n"/>
      <c r="E44" s="73" t="s">
        <v>410</v>
      </c>
      <c r="F44" s="31" t="n"/>
      <c r="G44" s="31" t="n"/>
      <c r="H44" s="31" t="n"/>
      <c r="I44" s="31" t="n"/>
      <c r="J44" s="31" t="n"/>
      <c r="K44" s="157" t="n"/>
      <c r="L44" s="73" t="s">
        <v>411</v>
      </c>
      <c r="M44" s="31" t="n"/>
      <c r="N44" s="31" t="n"/>
      <c r="O44" s="31" t="n"/>
      <c r="P44" s="31" t="n"/>
      <c r="Q44" s="31" t="n"/>
      <c r="R44" s="31" t="n"/>
      <c r="S44" s="31" t="n"/>
      <c r="T44" s="31" t="n"/>
      <c r="U44" s="31" t="n"/>
      <c r="V44" s="31" t="n"/>
      <c r="W44" s="31" t="n"/>
      <c r="X44" s="31" t="n"/>
      <c r="Y44" s="31" t="n"/>
      <c r="Z44" s="31" t="n"/>
      <c r="AA44" s="31" t="n"/>
      <c r="AB44" s="31" t="n"/>
      <c r="AC44" s="31" t="n"/>
      <c r="AD44" s="31" t="n"/>
      <c r="AE44" s="31" t="n"/>
      <c r="AF44" s="31" t="n"/>
      <c r="AG44" s="31" t="n"/>
      <c r="AH44" s="31" t="n"/>
      <c r="AI44" s="31" t="n"/>
      <c r="AJ44" s="31" t="n"/>
      <c r="AK44" s="31" t="n"/>
    </row>
    <row r="45" ht="49.6" customHeight="true">
      <c r="B45" s="152" t="str">
        <f>B25</f>
        <v>T-09</v>
      </c>
      <c r="C45" s="153" t="str">
        <f>D25</f>
        <v>Campaign concept and photography</v>
      </c>
      <c r="D45" s="31" t="n"/>
      <c r="E45" s="71" t="s">
        <v>412</v>
      </c>
      <c r="F45" s="31" t="n"/>
      <c r="G45" s="31" t="n"/>
      <c r="H45" s="31" t="n"/>
      <c r="I45" s="31" t="n"/>
      <c r="J45" s="31" t="n"/>
      <c r="K45" s="154" t="n"/>
      <c r="L45" s="71" t="s">
        <v>413</v>
      </c>
      <c r="M45" s="31" t="n"/>
      <c r="N45" s="31" t="n"/>
      <c r="O45" s="31" t="n"/>
      <c r="P45" s="31" t="n"/>
      <c r="Q45" s="31" t="n"/>
      <c r="R45" s="31" t="n"/>
      <c r="S45" s="31" t="n"/>
      <c r="T45" s="31" t="n"/>
      <c r="U45" s="31" t="n"/>
      <c r="V45" s="31" t="n"/>
      <c r="W45" s="31" t="n"/>
      <c r="X45" s="31" t="n"/>
      <c r="Y45" s="31" t="n"/>
      <c r="Z45" s="31" t="n"/>
      <c r="AA45" s="31" t="n"/>
      <c r="AB45" s="31" t="n"/>
      <c r="AC45" s="31" t="n"/>
      <c r="AD45" s="31" t="n"/>
      <c r="AE45" s="31" t="n"/>
      <c r="AF45" s="31" t="n"/>
      <c r="AG45" s="31" t="n"/>
      <c r="AH45" s="31" t="n"/>
      <c r="AI45" s="31" t="n"/>
      <c r="AJ45" s="31" t="n"/>
      <c r="AK45" s="31" t="n"/>
    </row>
    <row r="46" ht="36.4" customHeight="true">
      <c r="B46" s="155" t="str">
        <f>B26</f>
        <v>T-10</v>
      </c>
      <c r="C46" s="156" t="str">
        <f>D26</f>
        <v>Retailer launch kit and sell-in presentation</v>
      </c>
      <c r="D46" s="31" t="n"/>
      <c r="E46" s="73" t="s">
        <v>414</v>
      </c>
      <c r="F46" s="31" t="n"/>
      <c r="G46" s="31" t="n"/>
      <c r="H46" s="31" t="n"/>
      <c r="I46" s="31" t="n"/>
      <c r="J46" s="31" t="n"/>
      <c r="K46" s="157" t="n"/>
      <c r="L46" s="73" t="s">
        <v>415</v>
      </c>
      <c r="M46" s="31" t="n"/>
      <c r="N46" s="31" t="n"/>
      <c r="O46" s="31" t="n"/>
      <c r="P46" s="31" t="n"/>
      <c r="Q46" s="31" t="n"/>
      <c r="R46" s="31" t="n"/>
      <c r="S46" s="31" t="n"/>
      <c r="T46" s="31" t="n"/>
      <c r="U46" s="31" t="n"/>
      <c r="V46" s="31" t="n"/>
      <c r="W46" s="31" t="n"/>
      <c r="X46" s="31" t="n"/>
      <c r="Y46" s="31" t="n"/>
      <c r="Z46" s="31" t="n"/>
      <c r="AA46" s="31" t="n"/>
      <c r="AB46" s="31" t="n"/>
      <c r="AC46" s="31" t="n"/>
      <c r="AD46" s="31" t="n"/>
      <c r="AE46" s="31" t="n"/>
      <c r="AF46" s="31" t="n"/>
      <c r="AG46" s="31" t="n"/>
      <c r="AH46" s="31" t="n"/>
      <c r="AI46" s="31" t="n"/>
      <c r="AJ46" s="31" t="n"/>
      <c r="AK46" s="31" t="n"/>
    </row>
    <row r="47" ht="36.4" customHeight="true">
      <c r="B47" s="152" t="str">
        <f>B27</f>
        <v>T-11</v>
      </c>
      <c r="C47" s="153" t="str">
        <f>D27</f>
        <v>Secure wholesale pre-orders with key accounts</v>
      </c>
      <c r="D47" s="31" t="n"/>
      <c r="E47" s="71" t="s">
        <v>416</v>
      </c>
      <c r="F47" s="31" t="n"/>
      <c r="G47" s="31" t="n"/>
      <c r="H47" s="31" t="n"/>
      <c r="I47" s="31" t="n"/>
      <c r="J47" s="31" t="n"/>
      <c r="K47" s="154" t="n"/>
      <c r="L47" s="71" t="s">
        <v>417</v>
      </c>
      <c r="M47" s="31" t="n"/>
      <c r="N47" s="31" t="n"/>
      <c r="O47" s="31" t="n"/>
      <c r="P47" s="31" t="n"/>
      <c r="Q47" s="31" t="n"/>
      <c r="R47" s="31" t="n"/>
      <c r="S47" s="31" t="n"/>
      <c r="T47" s="31" t="n"/>
      <c r="U47" s="31" t="n"/>
      <c r="V47" s="31" t="n"/>
      <c r="W47" s="31" t="n"/>
      <c r="X47" s="31" t="n"/>
      <c r="Y47" s="31" t="n"/>
      <c r="Z47" s="31" t="n"/>
      <c r="AA47" s="31" t="n"/>
      <c r="AB47" s="31" t="n"/>
      <c r="AC47" s="31" t="n"/>
      <c r="AD47" s="31" t="n"/>
      <c r="AE47" s="31" t="n"/>
      <c r="AF47" s="31" t="n"/>
      <c r="AG47" s="31" t="n"/>
      <c r="AH47" s="31" t="n"/>
      <c r="AI47" s="31" t="n"/>
      <c r="AJ47" s="31" t="n"/>
      <c r="AK47" s="31" t="n"/>
    </row>
    <row r="48" ht="49.6" customHeight="true">
      <c r="B48" s="155" t="str">
        <f>B28</f>
        <v>T-12</v>
      </c>
      <c r="C48" s="156" t="str">
        <f>D28</f>
        <v>Build the Japanese e-commerce storefront</v>
      </c>
      <c r="D48" s="31" t="n"/>
      <c r="E48" s="73" t="s">
        <v>418</v>
      </c>
      <c r="F48" s="31" t="n"/>
      <c r="G48" s="31" t="n"/>
      <c r="H48" s="31" t="n"/>
      <c r="I48" s="31" t="n"/>
      <c r="J48" s="31" t="n"/>
      <c r="K48" s="157" t="n"/>
      <c r="L48" s="73" t="s">
        <v>419</v>
      </c>
      <c r="M48" s="31" t="n"/>
      <c r="N48" s="31" t="n"/>
      <c r="O48" s="31" t="n"/>
      <c r="P48" s="31" t="n"/>
      <c r="Q48" s="31" t="n"/>
      <c r="R48" s="31" t="n"/>
      <c r="S48" s="31" t="n"/>
      <c r="T48" s="31" t="n"/>
      <c r="U48" s="31" t="n"/>
      <c r="V48" s="31" t="n"/>
      <c r="W48" s="31" t="n"/>
      <c r="X48" s="31" t="n"/>
      <c r="Y48" s="31" t="n"/>
      <c r="Z48" s="31" t="n"/>
      <c r="AA48" s="31" t="n"/>
      <c r="AB48" s="31" t="n"/>
      <c r="AC48" s="31" t="n"/>
      <c r="AD48" s="31" t="n"/>
      <c r="AE48" s="31" t="n"/>
      <c r="AF48" s="31" t="n"/>
      <c r="AG48" s="31" t="n"/>
      <c r="AH48" s="31" t="n"/>
      <c r="AI48" s="31" t="n"/>
      <c r="AJ48" s="31" t="n"/>
      <c r="AK48" s="31" t="n"/>
    </row>
    <row r="49" ht="36.4" customHeight="true">
      <c r="B49" s="152" t="str">
        <f>B29</f>
        <v>T-13</v>
      </c>
      <c r="C49" s="153" t="str">
        <f>D29</f>
        <v>Load product data and imagery into the PIM</v>
      </c>
      <c r="D49" s="31" t="n"/>
      <c r="E49" s="71" t="s">
        <v>420</v>
      </c>
      <c r="F49" s="31" t="n"/>
      <c r="G49" s="31" t="n"/>
      <c r="H49" s="31" t="n"/>
      <c r="I49" s="31" t="n"/>
      <c r="J49" s="31" t="n"/>
      <c r="K49" s="154" t="n"/>
      <c r="L49" s="71" t="s">
        <v>421</v>
      </c>
      <c r="M49" s="31" t="n"/>
      <c r="N49" s="31" t="n"/>
      <c r="O49" s="31" t="n"/>
      <c r="P49" s="31" t="n"/>
      <c r="Q49" s="31" t="n"/>
      <c r="R49" s="31" t="n"/>
      <c r="S49" s="31" t="n"/>
      <c r="T49" s="31" t="n"/>
      <c r="U49" s="31" t="n"/>
      <c r="V49" s="31" t="n"/>
      <c r="W49" s="31" t="n"/>
      <c r="X49" s="31" t="n"/>
      <c r="Y49" s="31" t="n"/>
      <c r="Z49" s="31" t="n"/>
      <c r="AA49" s="31" t="n"/>
      <c r="AB49" s="31" t="n"/>
      <c r="AC49" s="31" t="n"/>
      <c r="AD49" s="31" t="n"/>
      <c r="AE49" s="31" t="n"/>
      <c r="AF49" s="31" t="n"/>
      <c r="AG49" s="31" t="n"/>
      <c r="AH49" s="31" t="n"/>
      <c r="AI49" s="31" t="n"/>
      <c r="AJ49" s="31" t="n"/>
      <c r="AK49" s="31" t="n"/>
    </row>
    <row r="50" ht="36.4" customHeight="true">
      <c r="B50" s="155" t="str">
        <f>B30</f>
        <v>T-14</v>
      </c>
      <c r="C50" s="156" t="str">
        <f>D30</f>
        <v>Retailer EDI and labelling set-up</v>
      </c>
      <c r="D50" s="31" t="n"/>
      <c r="E50" s="73" t="s">
        <v>422</v>
      </c>
      <c r="F50" s="31" t="n"/>
      <c r="G50" s="31" t="n"/>
      <c r="H50" s="31" t="n"/>
      <c r="I50" s="31" t="n"/>
      <c r="J50" s="31" t="n"/>
      <c r="K50" s="157" t="n"/>
      <c r="L50" s="73" t="s">
        <v>423</v>
      </c>
      <c r="M50" s="31" t="n"/>
      <c r="N50" s="31" t="n"/>
      <c r="O50" s="31" t="n"/>
      <c r="P50" s="31" t="n"/>
      <c r="Q50" s="31" t="n"/>
      <c r="R50" s="31" t="n"/>
      <c r="S50" s="31" t="n"/>
      <c r="T50" s="31" t="n"/>
      <c r="U50" s="31" t="n"/>
      <c r="V50" s="31" t="n"/>
      <c r="W50" s="31" t="n"/>
      <c r="X50" s="31" t="n"/>
      <c r="Y50" s="31" t="n"/>
      <c r="Z50" s="31" t="n"/>
      <c r="AA50" s="31" t="n"/>
      <c r="AB50" s="31" t="n"/>
      <c r="AC50" s="31" t="n"/>
      <c r="AD50" s="31" t="n"/>
      <c r="AE50" s="31" t="n"/>
      <c r="AF50" s="31" t="n"/>
      <c r="AG50" s="31" t="n"/>
      <c r="AH50" s="31" t="n"/>
      <c r="AI50" s="31" t="n"/>
      <c r="AJ50" s="31" t="n"/>
      <c r="AK50" s="31" t="n"/>
    </row>
    <row r="51" ht="36.4" customHeight="true">
      <c r="B51" s="152" t="str">
        <f>B32</f>
        <v>T-15</v>
      </c>
      <c r="C51" s="153" t="str">
        <f>D32</f>
        <v>Launch readiness review (go/no-go)</v>
      </c>
      <c r="D51" s="31" t="n"/>
      <c r="E51" s="71" t="s">
        <v>424</v>
      </c>
      <c r="F51" s="31" t="n"/>
      <c r="G51" s="31" t="n"/>
      <c r="H51" s="31" t="n"/>
      <c r="I51" s="31" t="n"/>
      <c r="J51" s="31" t="n"/>
      <c r="K51" s="154" t="n"/>
      <c r="L51" s="71" t="s">
        <v>425</v>
      </c>
      <c r="M51" s="31" t="n"/>
      <c r="N51" s="31" t="n"/>
      <c r="O51" s="31" t="n"/>
      <c r="P51" s="31" t="n"/>
      <c r="Q51" s="31" t="n"/>
      <c r="R51" s="31" t="n"/>
      <c r="S51" s="31" t="n"/>
      <c r="T51" s="31" t="n"/>
      <c r="U51" s="31" t="n"/>
      <c r="V51" s="31" t="n"/>
      <c r="W51" s="31" t="n"/>
      <c r="X51" s="31" t="n"/>
      <c r="Y51" s="31" t="n"/>
      <c r="Z51" s="31" t="n"/>
      <c r="AA51" s="31" t="n"/>
      <c r="AB51" s="31" t="n"/>
      <c r="AC51" s="31" t="n"/>
      <c r="AD51" s="31" t="n"/>
      <c r="AE51" s="31" t="n"/>
      <c r="AF51" s="31" t="n"/>
      <c r="AG51" s="31" t="n"/>
      <c r="AH51" s="31" t="n"/>
      <c r="AI51" s="31" t="n"/>
      <c r="AJ51" s="31" t="n"/>
      <c r="AK51" s="31" t="n"/>
    </row>
  </sheetData>
  <mergeCells count="87">
    <mergeCell ref="AD8:AH8"/>
    <mergeCell ref="L48:AK48"/>
    <mergeCell ref="B14:B15"/>
    <mergeCell ref="AG14:AJ14"/>
    <mergeCell ref="AI7:AK7"/>
    <mergeCell ref="E46:J46"/>
    <mergeCell ref="L47:AK47"/>
    <mergeCell ref="C41:D41"/>
    <mergeCell ref="C50:D50"/>
    <mergeCell ref="L43:AK43"/>
    <mergeCell ref="C43:D43"/>
    <mergeCell ref="C36:D36"/>
    <mergeCell ref="E47:J47"/>
    <mergeCell ref="L50:AK50"/>
    <mergeCell ref="L14:O14"/>
    <mergeCell ref="AI9:AK9"/>
    <mergeCell ref="E51:J51"/>
    <mergeCell ref="C14:C15"/>
    <mergeCell ref="AD9:AH9"/>
    <mergeCell ref="E14:E15"/>
    <mergeCell ref="L36:AK36"/>
    <mergeCell ref="I6:J6"/>
    <mergeCell ref="T14:X14"/>
    <mergeCell ref="B6:H6"/>
    <mergeCell ref="C45:D45"/>
    <mergeCell ref="E49:J49"/>
    <mergeCell ref="C47:D47"/>
    <mergeCell ref="L37:AK37"/>
    <mergeCell ref="E36:J36"/>
    <mergeCell ref="I7:J7"/>
    <mergeCell ref="E45:J45"/>
    <mergeCell ref="AD10:AH10"/>
    <mergeCell ref="C40:D40"/>
    <mergeCell ref="X7:AC10"/>
    <mergeCell ref="E37:J37"/>
    <mergeCell ref="I8:J8"/>
    <mergeCell ref="AI8:AK8"/>
    <mergeCell ref="L51:AK51"/>
    <mergeCell ref="H14:H15"/>
    <mergeCell ref="J14:J15"/>
    <mergeCell ref="L41:AK41"/>
    <mergeCell ref="I10:J10"/>
    <mergeCell ref="AI10:AK10"/>
    <mergeCell ref="L6:V6"/>
    <mergeCell ref="B35:AK35"/>
    <mergeCell ref="E48:J48"/>
    <mergeCell ref="B7:H10"/>
    <mergeCell ref="E38:J38"/>
    <mergeCell ref="I9:J9"/>
    <mergeCell ref="L49:AK49"/>
    <mergeCell ref="E40:J40"/>
    <mergeCell ref="L7:V7"/>
    <mergeCell ref="C44:D44"/>
    <mergeCell ref="C46:D46"/>
    <mergeCell ref="L39:AK39"/>
    <mergeCell ref="L45:AK45"/>
    <mergeCell ref="C51:D51"/>
    <mergeCell ref="L10:V10"/>
    <mergeCell ref="E50:J50"/>
    <mergeCell ref="C48:D48"/>
    <mergeCell ref="L38:AK38"/>
    <mergeCell ref="D14:D15"/>
    <mergeCell ref="F14:F15"/>
    <mergeCell ref="L9:V9"/>
    <mergeCell ref="AC14:AF14"/>
    <mergeCell ref="B4:AK4"/>
    <mergeCell ref="C38:D38"/>
    <mergeCell ref="L44:AK44"/>
    <mergeCell ref="L40:AK40"/>
    <mergeCell ref="E39:J39"/>
    <mergeCell ref="C49:D49"/>
    <mergeCell ref="C42:D42"/>
    <mergeCell ref="P14:S14"/>
    <mergeCell ref="G14:G15"/>
    <mergeCell ref="L42:AK42"/>
    <mergeCell ref="I14:I15"/>
    <mergeCell ref="E41:J41"/>
    <mergeCell ref="L8:V8"/>
    <mergeCell ref="X6:AK6"/>
    <mergeCell ref="E43:J43"/>
    <mergeCell ref="C39:D39"/>
    <mergeCell ref="Y14:AB14"/>
    <mergeCell ref="E42:J42"/>
    <mergeCell ref="AD7:AH7"/>
    <mergeCell ref="C37:D37"/>
    <mergeCell ref="E44:J44"/>
    <mergeCell ref="L46:AK46"/>
  </mergeCells>
  <conditionalFormatting sqref="L16:AK33">
    <cfRule type="expression" dxfId="14" priority="1" stopIfTrue="true">
      <formula>AND(LEFT($B16,1)="T",L$15&lt;=$G16,L$15+6&gt;=$F16,$I16=$H$12)</formula>
    </cfRule>
    <cfRule type="expression" dxfId="15" priority="2" stopIfTrue="true">
      <formula>AND(LEFT($B16,1)="T",L$15&lt;=$G16,L$15+6&gt;=$F16,$I16=$G$12)</formula>
    </cfRule>
    <cfRule type="expression" dxfId="16" priority="3" stopIfTrue="true">
      <formula>AND(LEFT($B16,1)="T",L$15&lt;=$G16,L$15+6&gt;=$F16,$I16=$F$12)</formula>
    </cfRule>
    <cfRule type="expression" dxfId="17" priority="4" stopIfTrue="true">
      <formula>AND(LEFT($B16,1)="T",L$15&lt;=$G16,L$15+6&gt;=$F16,$I16=$E$12)</formula>
    </cfRule>
    <cfRule type="expression" dxfId="18" priority="5">
      <formula>AND(L$15&lt;=$L$10,L$15+6&gt;=$L$10)</formula>
    </cfRule>
  </conditionalFormatting>
  <conditionalFormatting sqref="L15:AK15">
    <cfRule type="expression" dxfId="19" priority="6">
      <formula>AND(L$15&lt;=$L$10,L$15+6&gt;=$L$10)</formula>
    </cfRule>
  </conditionalFormatting>
  <conditionalFormatting sqref="I16:I33">
    <cfRule type="expression" dxfId="20" priority="7" stopIfTrue="true">
      <formula>I16=$E$12</formula>
    </cfRule>
    <cfRule type="expression" dxfId="6" priority="8" stopIfTrue="true">
      <formula>I16=$F$12</formula>
    </cfRule>
    <cfRule type="expression" dxfId="8" priority="9" stopIfTrue="true">
      <formula>I16=$G$12</formula>
    </cfRule>
    <cfRule type="expression" dxfId="5" priority="10" stopIfTrue="true">
      <formula>I16=$H$12</formula>
    </cfRule>
  </conditionalFormatting>
  <conditionalFormatting sqref="G16:G33">
    <cfRule type="expression" dxfId="1" priority="11">
      <formula>AND(G16&lt;$L$10,I16&lt;&gt;$H$12)</formula>
    </cfRule>
  </conditionalFormatting>
  <conditionalFormatting sqref="J16:J33">
    <cfRule type="dataBar" priority="12">
      <dataBar>
        <cfvo type="num" val="0"/>
        <cfvo type="num" val="1"/>
        <color rgb="009DB8A8"/>
      </dataBar>
    </cfRule>
  </conditionalFormatting>
  <dataValidations count="2">
    <dataValidation allowBlank="false" error="Select a status from the list." errorTitle="Invalid status" showErrorMessage="true" sqref="I16:I33" type="list">
      <formula1>=$E$12:$H$12</formula1>
    </dataValidation>
    <dataValidation allowBlank="false" error="Enter a percentage between 0% and 100%." errorTitle="Invalid value" operator="between" showErrorMessage="true" sqref="J16:J33" type="decimal">
      <formula1>0</formula1>
      <formula2>1</formula2>
    </dataValidation>
  </dataValidations>
  <pageMargins left="0.4" right="0.4" top="0.5" bottom="0.5" header="0.5" footer="0.5"/>
  <pageSetup fitToHeight="0" fitToWidth="1" orientation="landscape" paperSize="9"/>
  <headerFooter>
    <oddFooter>&amp;L&amp;8 Linden &amp; Loom · Global Sales &amp; Operations Report FY2026&amp;R&amp;8 &amp;A · Page &amp;P of &amp;N</odd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Linden &amp; Loom Commercial Finance</dc:creator>
  <dc:title xmlns:dc="http://purl.org/dc/elements/1.1/">Global Sales &amp; Operations Report FY2026</dc:title>
  <dc:subject xmlns:dc="http://purl.org/dc/elements/1.1/">January–September 2026 trading, markets, inventory and launch plan</dc:subject>
  <dcterms:created xmlns:dcterms="http://purl.org/dc/terms/" xmlns:xsi="http://www.w3.org/2001/XMLSchema-instance" xsi:type="dcterms:W3CDTF">2026-10-22T13:17:03Z</dcterms:created>
  <dcterms:modified xmlns:dcterms="http://purl.org/dc/terms/" xmlns:xsi="http://www.w3.org/2001/XMLSchema-instance" xsi:type="dcterms:W3CDTF">2026-10-22T13:17:04Z</dcterms:modified>
</cp:coreProperties>
</file>