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xecutive Overview" sheetId="1" state="visible" r:id="rId1"/>
    <sheet xmlns:r="http://schemas.openxmlformats.org/officeDocument/2006/relationships" name="Regional Markets" sheetId="2" state="visible" r:id="rId2"/>
    <sheet xmlns:r="http://schemas.openxmlformats.org/officeDocument/2006/relationships" name="Product Catalog" sheetId="3" state="visible" r:id="rId3"/>
    <sheet xmlns:r="http://schemas.openxmlformats.org/officeDocument/2006/relationships" name="International Orders" sheetId="4" state="visible" r:id="rId4"/>
    <sheet xmlns:r="http://schemas.openxmlformats.org/officeDocument/2006/relationships" name="Inventory &amp; Replenishment" sheetId="5" state="visible" r:id="rId5"/>
    <sheet xmlns:r="http://schemas.openxmlformats.org/officeDocument/2006/relationships" name="Launch Plan" sheetId="6" state="visible" r:id="rId6"/>
  </sheets>
  <definedNames>
    <definedName name="_xlnm.Print_Area" localSheetId="0">'Executive Overview'!$A$1:$P$56</definedName>
    <definedName name="_xlnm.Print_Area" localSheetId="1">'Regional Markets'!$A$1:$O$48</definedName>
    <definedName name="_xlnm._FilterDatabase" localSheetId="2" hidden="1">'Product Catalog'!$B$6:$O$22</definedName>
    <definedName name="_xlnm.Print_Titles" localSheetId="2">'Product Catalog'!$6:$6</definedName>
    <definedName name="_xlnm.Print_Area" localSheetId="2">'Product Catalog'!$A$1:$P$24</definedName>
    <definedName name="_xlnm._FilterDatabase" localSheetId="3" hidden="1">'International Orders'!$B$7:$R$107</definedName>
    <definedName name="_xlnm.Print_Titles" localSheetId="3">'International Orders'!$7:$7</definedName>
    <definedName name="_xlnm.Print_Area" localSheetId="3">'International Orders'!$A$1:$S$107</definedName>
    <definedName name="_xlnm.Print_Area" localSheetId="4">'Inventory &amp; Replenishment'!$A$1:$U$49</definedName>
    <definedName name="_xlnm.Print_Area" localSheetId="5">'Launch Plan'!$A$1:$AL$51</definedName>
  </definedNames>
  <calcPr calcId="124519" fullCalcOnLoad="1"/>
</workbook>
</file>

<file path=xl/styles.xml><?xml version="1.0" encoding="utf-8"?>
<styleSheet xmlns="http://schemas.openxmlformats.org/spreadsheetml/2006/main">
  <numFmts count="21">
    <numFmt numFmtId="164" formatCode="0.0"/>
    <numFmt numFmtId="165" formatCode="$#,##0.00"/>
    <numFmt numFmtId="166" formatCode="0.0%"/>
    <numFmt numFmtId="167" formatCode="$#,##0"/>
    <numFmt numFmtId="168" formatCode="▲ 0.0%;▼ 0.0%;0.0%"/>
    <numFmt numFmtId="169" formatCode="yyyy-mm-dd"/>
    <numFmt numFmtId="170" formatCode="d mmm yyyy"/>
    <numFmt numFmtId="171" formatCode="#,##0;[Red]-#,##0"/>
    <numFmt numFmtId="172" formatCode="#,##0;-#,##0;&quot;–&quot;"/>
    <numFmt numFmtId="173" formatCode="$#,##0;-$#,##0;&quot;–&quot;"/>
    <numFmt numFmtId="174" formatCode="#,##0&quot; units on hand&quot;"/>
    <numFmt numFmtId="175" formatCode="0.0%&quot; of stock&quot;"/>
    <numFmt numFmtId="176" formatCode="0&quot; at stock-out risk&quot;"/>
    <numFmt numFmtId="177" formatCode="#,##0&quot; units to order&quot;"/>
    <numFmt numFmtId="178" formatCode="dddd, d mmmm yyyy"/>
    <numFmt numFmtId="179" formatCode="d mmmm yyyy"/>
    <numFmt numFmtId="180" formatCode="0&quot; tasks&quot;"/>
    <numFmt numFmtId="181" formatCode="d"/>
    <numFmt numFmtId="182" formatCode="mmm yyyy"/>
    <numFmt numFmtId="183" formatCode="mmm"/>
    <numFmt numFmtId="184" formatCode="$#,##0,&quot;K&quot;"/>
  </numFmts>
  <fonts count="40">
    <font>
      <name val="Calibri"/>
      <family val="2"/>
      <color theme="1"/>
      <sz val="11"/>
      <scheme val="minor"/>
    </font>
    <font>
      <name val="Arial"/>
      <b val="1"/>
      <color rgb="00C2603A"/>
      <sz val="9"/>
    </font>
    <font>
      <name val="Arial"/>
      <b val="1"/>
      <color rgb="001F2A44"/>
      <sz val="20"/>
    </font>
    <font>
      <name val="Arial"/>
      <color rgb="006B645C"/>
      <sz val="10"/>
    </font>
    <font>
      <name val="Arial"/>
      <b val="1"/>
      <color rgb="00FFFFFF"/>
      <sz val="9"/>
    </font>
    <font>
      <name val="Arial"/>
      <color rgb="002E2A26"/>
      <sz val="10"/>
    </font>
    <font>
      <name val="Arial"/>
      <b val="1"/>
      <color rgb="001F2A44"/>
      <sz val="10"/>
    </font>
    <font>
      <name val="Arial"/>
      <b val="1"/>
      <color rgb="002E2A26"/>
      <sz val="10"/>
    </font>
    <font>
      <name val="Arial"/>
      <i val="1"/>
      <color rgb="006B645C"/>
      <sz val="9"/>
    </font>
    <font>
      <name val="Arial"/>
      <b val="1"/>
      <color rgb="001F2A44"/>
      <sz val="12"/>
    </font>
    <font>
      <name val="Arial"/>
      <color rgb="001F4FD1"/>
      <sz val="10"/>
    </font>
    <font>
      <name val="Arial"/>
      <b val="1"/>
      <color rgb="006B645C"/>
      <sz val="9"/>
    </font>
    <font>
      <name val="Arial"/>
      <b val="1"/>
      <color rgb="001F2A44"/>
      <sz val="11"/>
    </font>
    <font>
      <name val="Arial"/>
      <b val="1"/>
      <color rgb="002F6B4F"/>
      <sz val="9"/>
    </font>
    <font>
      <name val="Arial"/>
      <b val="1"/>
      <color rgb="002B4C7E"/>
      <sz val="9"/>
    </font>
    <font>
      <name val="Arial"/>
      <b val="1"/>
      <color rgb="0086561C"/>
      <sz val="9"/>
    </font>
    <font>
      <name val="Arial"/>
      <b val="1"/>
      <color rgb="00A3421C"/>
      <sz val="9"/>
    </font>
    <font>
      <name val="Arial"/>
      <b val="1"/>
      <color rgb="0077716A"/>
      <sz val="9"/>
    </font>
    <font>
      <name val="Arial"/>
      <color rgb="002E2A26"/>
      <sz val="9"/>
    </font>
    <font>
      <name val="Arial"/>
      <b val="1"/>
      <color rgb="009B2C22"/>
      <sz val="9"/>
    </font>
    <font>
      <name val="Arial"/>
      <b val="1"/>
      <color rgb="006B645C"/>
      <sz val="8"/>
    </font>
    <font>
      <name val="Arial"/>
      <b val="1"/>
      <color rgb="001F2A44"/>
      <sz val="18"/>
    </font>
    <font>
      <name val="Arial"/>
      <color rgb="006B645C"/>
      <sz val="9"/>
    </font>
    <font>
      <name val="Arial"/>
      <color rgb="006B645C"/>
      <sz val="8"/>
    </font>
    <font>
      <name val="Arial"/>
      <b val="1"/>
      <color rgb="001F4FD1"/>
      <sz val="10"/>
    </font>
    <font>
      <name val="Arial"/>
      <b val="1"/>
      <color rgb="001F2A44"/>
      <sz val="28"/>
    </font>
    <font>
      <name val="Arial"/>
      <b val="1"/>
      <color rgb="002F6B4F"/>
      <sz val="10"/>
    </font>
    <font>
      <name val="Arial"/>
      <b val="1"/>
      <color rgb="002B4C7E"/>
      <sz val="10"/>
    </font>
    <font>
      <name val="Arial"/>
      <b val="1"/>
      <color rgb="00A3421C"/>
      <sz val="10"/>
    </font>
    <font>
      <name val="Arial"/>
      <b val="1"/>
      <color rgb="005F5953"/>
      <sz val="10"/>
    </font>
    <font>
      <name val="Arial"/>
      <b val="1"/>
      <color rgb="005F5953"/>
      <sz val="9"/>
    </font>
    <font>
      <name val="Arial"/>
      <b val="1"/>
      <color rgb="001F4FD1"/>
      <sz val="8"/>
    </font>
    <font>
      <name val="Arial"/>
      <color rgb="002E2A26"/>
      <sz val="8"/>
    </font>
    <font>
      <name val="Arial"/>
      <b val="1"/>
      <color rgb="00C2603A"/>
      <sz val="11"/>
    </font>
    <font>
      <name val="Arial"/>
      <b val="1"/>
      <color rgb="00C2603A"/>
      <sz val="10"/>
    </font>
    <font>
      <name val="Arial"/>
      <b val="1"/>
      <color rgb="001F2A44"/>
      <sz val="26"/>
    </font>
    <font>
      <name val="Arial"/>
      <b val="1"/>
      <color rgb="001F2A44"/>
      <sz val="22"/>
    </font>
    <font>
      <name val="Arial"/>
      <b val="1"/>
      <color rgb="002E2A26"/>
      <sz val="9"/>
    </font>
    <font>
      <name val="Arial"/>
      <b val="1"/>
      <color rgb="001F2A44"/>
      <sz val="13"/>
    </font>
    <font>
      <name val="Arial"/>
      <b val="1"/>
      <color rgb="003F7A5F"/>
      <sz val="9"/>
    </font>
  </fonts>
  <fills count="14">
    <fill>
      <patternFill/>
    </fill>
    <fill>
      <patternFill patternType="gray125"/>
    </fill>
    <fill>
      <patternFill patternType="solid">
        <fgColor rgb="001F2A44"/>
        <bgColor rgb="001F2A44"/>
      </patternFill>
    </fill>
    <fill>
      <patternFill patternType="solid">
        <fgColor rgb="00FFF7E3"/>
        <bgColor rgb="00FFF7E3"/>
      </patternFill>
    </fill>
    <fill>
      <patternFill patternType="solid">
        <fgColor rgb="00F4F1EC"/>
        <bgColor rgb="00F4F1EC"/>
      </patternFill>
    </fill>
    <fill>
      <patternFill patternType="solid">
        <fgColor rgb="00FAF8F5"/>
        <bgColor rgb="00FAF8F5"/>
      </patternFill>
    </fill>
    <fill>
      <patternFill patternType="solid">
        <fgColor rgb="00E2EFE7"/>
        <bgColor rgb="00E2EFE7"/>
      </patternFill>
    </fill>
    <fill>
      <patternFill patternType="solid">
        <fgColor rgb="00E1E9F4"/>
        <bgColor rgb="00E1E9F4"/>
      </patternFill>
    </fill>
    <fill>
      <patternFill patternType="solid">
        <fgColor rgb="00F6ECDD"/>
        <bgColor rgb="00F6ECDD"/>
      </patternFill>
    </fill>
    <fill>
      <patternFill patternType="solid">
        <fgColor rgb="00F9E0D3"/>
        <bgColor rgb="00F9E0D3"/>
      </patternFill>
    </fill>
    <fill>
      <patternFill patternType="solid">
        <fgColor rgb="00ECEAE7"/>
        <bgColor rgb="00ECEAE7"/>
      </patternFill>
    </fill>
    <fill>
      <patternFill patternType="solid">
        <fgColor rgb="00F3D3CE"/>
        <bgColor rgb="00F3D3CE"/>
      </patternFill>
    </fill>
    <fill>
      <patternFill patternType="solid">
        <fgColor rgb="00EAE5DD"/>
        <bgColor rgb="00EAE5DD"/>
      </patternFill>
    </fill>
    <fill>
      <patternFill patternType="solid">
        <fgColor rgb="002B4C7E"/>
        <bgColor rgb="002B4C7E"/>
      </patternFill>
    </fill>
  </fills>
  <borders count="26">
    <border>
      <left/>
      <right/>
      <top/>
      <bottom/>
      <diagonal/>
    </border>
    <border>
      <right style="thin">
        <color rgb="003A4763"/>
      </right>
      <bottom style="thin">
        <color rgb="001F2A44"/>
      </bottom>
    </border>
    <border>
      <bottom style="thin">
        <color rgb="00DDD6CB"/>
      </bottom>
    </border>
    <border>
      <bottom style="medium">
        <color rgb="001F2A44"/>
      </bottom>
    </border>
    <border>
      <left/>
      <right/>
      <top/>
      <bottom style="medium">
        <color rgb="001F2A44"/>
      </bottom>
      <diagonal/>
    </border>
    <border>
      <top style="medium">
        <color rgb="001F2A44"/>
      </top>
      <bottom style="thin">
        <color rgb="00DDD6CB"/>
      </bottom>
    </border>
    <border>
      <left/>
      <right/>
      <top/>
      <bottom style="thin">
        <color rgb="00DDD6CB"/>
      </bottom>
      <diagonal/>
    </border>
    <border>
      <left style="medium">
        <color rgb="00FFFFFF"/>
      </left>
      <right style="medium">
        <color rgb="00FFFFFF"/>
      </right>
    </border>
    <border>
      <bottom style="thin">
        <color rgb="00FFFFFF"/>
      </bottom>
    </border>
    <border>
      <left/>
      <right/>
      <top/>
      <bottom style="thin">
        <color rgb="00FFFFFF"/>
      </bottom>
      <diagonal/>
    </border>
    <border>
      <left style="thick">
        <color rgb="00FFFFFF"/>
      </left>
      <right style="thick">
        <color rgb="00FFFFFF"/>
      </right>
      <top style="thick">
        <color rgb="003F7A5F"/>
      </top>
    </border>
    <border>
      <left/>
      <right/>
      <top style="thick">
        <color rgb="003F7A5F"/>
      </top>
      <bottom/>
      <diagonal/>
    </border>
    <border>
      <left/>
      <right style="thick">
        <color rgb="00FFFFFF"/>
      </right>
      <top style="thick">
        <color rgb="003F7A5F"/>
      </top>
      <bottom/>
      <diagonal/>
    </border>
    <border>
      <left style="thick">
        <color rgb="00FFFFFF"/>
      </left>
      <right style="thick">
        <color rgb="00FFFFFF"/>
      </right>
    </border>
    <border>
      <left/>
      <right style="thick">
        <color rgb="00FFFFFF"/>
      </right>
      <top/>
      <bottom/>
      <diagonal/>
    </border>
    <border>
      <right style="thin">
        <color rgb="003A4763"/>
      </right>
    </border>
    <border>
      <left/>
      <right style="thin">
        <color rgb="003A4763"/>
      </right>
      <top/>
      <bottom/>
      <diagonal/>
    </border>
    <border>
      <left style="thin">
        <color rgb="00FFFFFF"/>
      </left>
      <bottom style="thin">
        <color rgb="001F2A44"/>
      </bottom>
    </border>
    <border>
      <left style="thin">
        <color rgb="00FFFFFF"/>
      </left>
    </border>
    <border>
      <left style="thin">
        <color rgb="00F3F0EB"/>
      </left>
      <bottom style="thin">
        <color rgb="00EEEAE4"/>
      </bottom>
    </border>
    <border>
      <top style="thick">
        <color rgb="00C2603A"/>
      </top>
    </border>
    <border>
      <left/>
      <right/>
      <top style="thick">
        <color rgb="00C2603A"/>
      </top>
      <bottom/>
      <diagonal/>
    </border>
    <border>
      <top style="thick">
        <color rgb="001F2A44"/>
      </top>
    </border>
    <border>
      <left/>
      <right/>
      <top style="thick">
        <color rgb="001F2A44"/>
      </top>
      <bottom/>
      <diagonal/>
    </border>
    <border>
      <top style="medium">
        <color rgb="001F2A44"/>
      </top>
    </border>
    <border>
      <left/>
      <right/>
      <top style="medium">
        <color rgb="001F2A44"/>
      </top>
      <bottom/>
      <diagonal/>
    </border>
  </borders>
  <cellStyleXfs count="1">
    <xf numFmtId="0" fontId="0" fillId="0" borderId="0"/>
  </cellStyleXfs>
  <cellXfs count="158">
    <xf numFmtId="0" fontId="0" fillId="0" borderId="0" pivotButton="0" quotePrefix="0" xfId="0"/>
    <xf numFmtId="0" fontId="0" fillId="2" borderId="0" pivotButton="0" quotePrefix="0" xfId="0"/>
    <xf numFmtId="0" fontId="34" fillId="0" borderId="0" applyAlignment="1" pivotButton="0" quotePrefix="0" xfId="0">
      <alignment horizontal="left" vertical="bottom"/>
    </xf>
    <xf numFmtId="0" fontId="11" fillId="0" borderId="0" applyAlignment="1" pivotButton="0" quotePrefix="0" xfId="0">
      <alignment horizontal="right" vertical="bottom"/>
    </xf>
    <xf numFmtId="0" fontId="35" fillId="0" borderId="0" applyAlignment="1" pivotButton="0" quotePrefix="0" xfId="0">
      <alignment horizontal="left" vertical="center"/>
    </xf>
    <xf numFmtId="0" fontId="3" fillId="0" borderId="0" applyAlignment="1" pivotButton="0" quotePrefix="0" xfId="0">
      <alignment horizontal="left" vertical="top"/>
    </xf>
    <xf numFmtId="0" fontId="22" fillId="0" borderId="0" applyAlignment="1" pivotButton="0" quotePrefix="0" xfId="0">
      <alignment horizontal="right" vertical="top"/>
    </xf>
    <xf numFmtId="0" fontId="20" fillId="4" borderId="20" applyAlignment="1" pivotButton="0" quotePrefix="0" xfId="0">
      <alignment horizontal="left" vertical="bottom" indent="1"/>
    </xf>
    <xf numFmtId="0" fontId="0" fillId="0" borderId="21" pivotButton="0" quotePrefix="0" xfId="0"/>
    <xf numFmtId="0" fontId="20" fillId="4" borderId="22" applyAlignment="1" pivotButton="0" quotePrefix="0" xfId="0">
      <alignment horizontal="left" vertical="bottom" indent="1"/>
    </xf>
    <xf numFmtId="0" fontId="0" fillId="0" borderId="23" pivotButton="0" quotePrefix="0" xfId="0"/>
    <xf numFmtId="167" fontId="36" fillId="4" borderId="0" applyAlignment="1" pivotButton="0" quotePrefix="0" xfId="0">
      <alignment horizontal="left" vertical="center" indent="1"/>
    </xf>
    <xf numFmtId="3" fontId="36" fillId="4" borderId="0" applyAlignment="1" pivotButton="0" quotePrefix="0" xfId="0">
      <alignment horizontal="left" vertical="center" indent="1"/>
    </xf>
    <xf numFmtId="166" fontId="36" fillId="4" borderId="0" applyAlignment="1" pivotButton="0" quotePrefix="0" xfId="0">
      <alignment horizontal="left" vertical="center" indent="1"/>
    </xf>
    <xf numFmtId="168" fontId="37" fillId="4" borderId="0" applyAlignment="1" pivotButton="0" quotePrefix="0" xfId="0">
      <alignment horizontal="left" vertical="top" indent="1"/>
    </xf>
    <xf numFmtId="0" fontId="22" fillId="4" borderId="0" applyAlignment="1" pivotButton="0" quotePrefix="0" xfId="0">
      <alignment horizontal="left" vertical="top"/>
    </xf>
    <xf numFmtId="1" fontId="37" fillId="4" borderId="0" applyAlignment="1" pivotButton="0" quotePrefix="0" xfId="0">
      <alignment horizontal="left" vertical="top" indent="1"/>
    </xf>
    <xf numFmtId="166" fontId="37" fillId="4" borderId="0" applyAlignment="1" pivotButton="0" quotePrefix="0" xfId="0">
      <alignment horizontal="left" vertical="top" indent="1"/>
    </xf>
    <xf numFmtId="184" fontId="37" fillId="4" borderId="0" applyAlignment="1" pivotButton="0" quotePrefix="0" xfId="0">
      <alignment horizontal="left" vertical="top" indent="1"/>
    </xf>
    <xf numFmtId="3" fontId="37" fillId="4" borderId="0" applyAlignment="1" pivotButton="0" quotePrefix="0" xfId="0">
      <alignment horizontal="left" vertical="top" indent="1"/>
    </xf>
    <xf numFmtId="0" fontId="0" fillId="4" borderId="0" pivotButton="0" quotePrefix="0" xfId="0"/>
    <xf numFmtId="0" fontId="9" fillId="0" borderId="3" applyAlignment="1" pivotButton="0" quotePrefix="0" xfId="0">
      <alignment horizontal="left" vertical="bottom"/>
    </xf>
    <xf numFmtId="0" fontId="0" fillId="0" borderId="4" pivotButton="0" quotePrefix="0" xfId="0"/>
    <xf numFmtId="0" fontId="4" fillId="2" borderId="0" applyAlignment="1" pivotButton="0" quotePrefix="0" xfId="0">
      <alignment horizontal="left" vertical="center" wrapText="1" indent="1"/>
    </xf>
    <xf numFmtId="0" fontId="4" fillId="2" borderId="0" applyAlignment="1" pivotButton="0" quotePrefix="0" xfId="0">
      <alignment horizontal="center" vertical="center" wrapText="1"/>
    </xf>
    <xf numFmtId="182" fontId="7" fillId="0" borderId="2" applyAlignment="1" pivotButton="0" quotePrefix="0" xfId="0">
      <alignment horizontal="left" vertical="center" indent="1"/>
    </xf>
    <xf numFmtId="167" fontId="5" fillId="0" borderId="2" applyAlignment="1" pivotButton="0" quotePrefix="0" xfId="0">
      <alignment horizontal="right" vertical="center"/>
    </xf>
    <xf numFmtId="167" fontId="10" fillId="3" borderId="2" applyAlignment="1" pivotButton="0" quotePrefix="0" xfId="0">
      <alignment horizontal="right" vertical="center"/>
    </xf>
    <xf numFmtId="168" fontId="5" fillId="0" borderId="2" applyAlignment="1" pivotButton="0" quotePrefix="0" xfId="0">
      <alignment horizontal="right" vertical="center"/>
    </xf>
    <xf numFmtId="3" fontId="5" fillId="0" borderId="2" applyAlignment="1" pivotButton="0" quotePrefix="0" xfId="0">
      <alignment horizontal="right" vertical="center"/>
    </xf>
    <xf numFmtId="0" fontId="7" fillId="0" borderId="2" applyAlignment="1" pivotButton="0" quotePrefix="0" xfId="0">
      <alignment horizontal="left" vertical="center" indent="1"/>
    </xf>
    <xf numFmtId="0" fontId="0" fillId="0" borderId="6" pivotButton="0" quotePrefix="0" xfId="0"/>
    <xf numFmtId="166" fontId="5" fillId="0" borderId="2" applyAlignment="1" pivotButton="0" quotePrefix="0" xfId="0">
      <alignment horizontal="right" vertical="center"/>
    </xf>
    <xf numFmtId="0" fontId="6" fillId="4" borderId="24" applyAlignment="1" pivotButton="0" quotePrefix="0" xfId="0">
      <alignment horizontal="left" vertical="center" indent="1"/>
    </xf>
    <xf numFmtId="0" fontId="0" fillId="0" borderId="25" pivotButton="0" quotePrefix="0" xfId="0"/>
    <xf numFmtId="167" fontId="6" fillId="4" borderId="24" applyAlignment="1" pivotButton="0" quotePrefix="0" xfId="0">
      <alignment horizontal="right" vertical="center"/>
    </xf>
    <xf numFmtId="166" fontId="6" fillId="4" borderId="24" applyAlignment="1" pivotButton="0" quotePrefix="0" xfId="0">
      <alignment horizontal="right" vertical="center"/>
    </xf>
    <xf numFmtId="0" fontId="20" fillId="4" borderId="0" applyAlignment="1" pivotButton="0" quotePrefix="0" xfId="0">
      <alignment horizontal="left" vertical="bottom" indent="1"/>
    </xf>
    <xf numFmtId="0" fontId="38" fillId="4" borderId="0" applyAlignment="1" pivotButton="0" quotePrefix="0" xfId="0">
      <alignment horizontal="left" vertical="center" indent="1"/>
    </xf>
    <xf numFmtId="167" fontId="38" fillId="4" borderId="0" applyAlignment="1" pivotButton="0" quotePrefix="0" xfId="0">
      <alignment horizontal="right" vertical="center"/>
    </xf>
    <xf numFmtId="168" fontId="6" fillId="4" borderId="24" applyAlignment="1" pivotButton="0" quotePrefix="0" xfId="0">
      <alignment horizontal="right" vertical="center"/>
    </xf>
    <xf numFmtId="3" fontId="6" fillId="4" borderId="24" applyAlignment="1" pivotButton="0" quotePrefix="0" xfId="0">
      <alignment horizontal="right" vertical="center"/>
    </xf>
    <xf numFmtId="0" fontId="22" fillId="4" borderId="0" applyAlignment="1" pivotButton="0" quotePrefix="0" xfId="0">
      <alignment horizontal="left" vertical="center" indent="1"/>
    </xf>
    <xf numFmtId="0" fontId="39" fillId="4" borderId="0" applyAlignment="1" pivotButton="0" quotePrefix="0" xfId="0">
      <alignment horizontal="right" vertical="center"/>
    </xf>
    <xf numFmtId="0" fontId="5" fillId="0" borderId="0" applyAlignment="1" pivotButton="0" quotePrefix="0" xfId="0">
      <alignment horizontal="left" vertical="top" wrapText="1" indent="1"/>
    </xf>
    <xf numFmtId="0" fontId="5" fillId="0" borderId="2" applyAlignment="1" pivotButton="0" quotePrefix="0" xfId="0">
      <alignment horizontal="left" vertical="center" indent="1"/>
    </xf>
    <xf numFmtId="1" fontId="12" fillId="0" borderId="2" applyAlignment="1" pivotButton="0" quotePrefix="0" xfId="0">
      <alignment horizontal="right" vertical="center"/>
    </xf>
    <xf numFmtId="167" fontId="12" fillId="0" borderId="2" applyAlignment="1" pivotButton="0" quotePrefix="0" xfId="0">
      <alignment horizontal="right" vertical="center"/>
    </xf>
    <xf numFmtId="9" fontId="12" fillId="0" borderId="2" applyAlignment="1" pivotButton="0" quotePrefix="0" xfId="0">
      <alignment horizontal="right" vertical="center"/>
    </xf>
    <xf numFmtId="0" fontId="5" fillId="4" borderId="0" applyAlignment="1" pivotButton="0" quotePrefix="0" xfId="0">
      <alignment horizontal="left" vertical="top" wrapText="1" indent="1"/>
    </xf>
    <xf numFmtId="0" fontId="8" fillId="0" borderId="0" applyAlignment="1" pivotButton="0" quotePrefix="0" xfId="0">
      <alignment horizontal="left" vertical="top" wrapText="1"/>
    </xf>
    <xf numFmtId="0" fontId="22" fillId="0" borderId="0" applyAlignment="1" pivotButton="0" quotePrefix="0" xfId="0">
      <alignment horizontal="left" vertical="center"/>
    </xf>
    <xf numFmtId="165" fontId="11" fillId="0" borderId="0" applyAlignment="1" pivotButton="0" quotePrefix="0" xfId="0">
      <alignment horizontal="right" vertical="center"/>
    </xf>
    <xf numFmtId="0" fontId="1" fillId="0" borderId="0" applyAlignment="1" pivotButton="0" quotePrefix="0" xfId="0">
      <alignment horizontal="left" vertical="bottom"/>
    </xf>
    <xf numFmtId="0" fontId="2" fillId="0" borderId="0" applyAlignment="1" pivotButton="0" quotePrefix="0" xfId="0">
      <alignment horizontal="left" vertical="center"/>
    </xf>
    <xf numFmtId="0" fontId="3" fillId="0" borderId="0" applyAlignment="1" pivotButton="0" quotePrefix="0" xfId="0">
      <alignment horizontal="left" vertical="top" wrapText="1"/>
    </xf>
    <xf numFmtId="0" fontId="4" fillId="2" borderId="1" applyAlignment="1" pivotButton="0" quotePrefix="0" xfId="0">
      <alignment horizontal="center" vertical="center" wrapText="1"/>
    </xf>
    <xf numFmtId="0" fontId="7" fillId="0" borderId="2" applyAlignment="1" pivotButton="0" quotePrefix="0" xfId="0">
      <alignment horizontal="left" vertical="center"/>
    </xf>
    <xf numFmtId="0" fontId="5" fillId="0" borderId="2" applyAlignment="1" pivotButton="0" quotePrefix="0" xfId="0">
      <alignment horizontal="left" vertical="center"/>
    </xf>
    <xf numFmtId="0" fontId="5" fillId="0" borderId="2" applyAlignment="1" pivotButton="0" quotePrefix="0" xfId="0">
      <alignment horizontal="center" vertical="center"/>
    </xf>
    <xf numFmtId="4" fontId="10" fillId="3" borderId="2" applyAlignment="1" pivotButton="0" quotePrefix="0" xfId="0">
      <alignment horizontal="right" vertical="center"/>
    </xf>
    <xf numFmtId="4" fontId="5" fillId="0" borderId="2" applyAlignment="1" pivotButton="0" quotePrefix="0" xfId="0">
      <alignment horizontal="right" vertical="center"/>
    </xf>
    <xf numFmtId="0" fontId="6" fillId="4" borderId="5" applyAlignment="1" pivotButton="0" quotePrefix="0" xfId="0">
      <alignment horizontal="left" vertical="center"/>
    </xf>
    <xf numFmtId="0" fontId="6" fillId="4" borderId="5" applyAlignment="1" pivotButton="0" quotePrefix="0" xfId="0">
      <alignment horizontal="right" vertical="center"/>
    </xf>
    <xf numFmtId="3" fontId="6" fillId="4" borderId="5" applyAlignment="1" pivotButton="0" quotePrefix="0" xfId="0">
      <alignment horizontal="right" vertical="center"/>
    </xf>
    <xf numFmtId="0" fontId="8" fillId="4" borderId="5" applyAlignment="1" pivotButton="0" quotePrefix="0" xfId="0">
      <alignment horizontal="right" vertical="center"/>
    </xf>
    <xf numFmtId="167" fontId="6" fillId="4" borderId="5" applyAlignment="1" pivotButton="0" quotePrefix="0" xfId="0">
      <alignment horizontal="right" vertical="center"/>
    </xf>
    <xf numFmtId="166" fontId="6" fillId="4" borderId="5" applyAlignment="1" pivotButton="0" quotePrefix="0" xfId="0">
      <alignment horizontal="right" vertical="center"/>
    </xf>
    <xf numFmtId="168" fontId="6" fillId="4" borderId="5" applyAlignment="1" pivotButton="0" quotePrefix="0" xfId="0">
      <alignment horizontal="right" vertical="center"/>
    </xf>
    <xf numFmtId="0" fontId="8" fillId="0" borderId="0" applyAlignment="1" pivotButton="0" quotePrefix="0" xfId="0">
      <alignment horizontal="left" vertical="center" wrapText="1"/>
    </xf>
    <xf numFmtId="0" fontId="6" fillId="0" borderId="2" applyAlignment="1" pivotButton="0" quotePrefix="0" xfId="0">
      <alignment horizontal="left" vertical="top" wrapText="1" indent="1"/>
    </xf>
    <xf numFmtId="0" fontId="5" fillId="0" borderId="2" applyAlignment="1" pivotButton="0" quotePrefix="0" xfId="0">
      <alignment horizontal="left" vertical="top" wrapText="1" indent="1"/>
    </xf>
    <xf numFmtId="0" fontId="6" fillId="5" borderId="2" applyAlignment="1" pivotButton="0" quotePrefix="0" xfId="0">
      <alignment horizontal="left" vertical="top" wrapText="1" indent="1"/>
    </xf>
    <xf numFmtId="0" fontId="5" fillId="5" borderId="2" applyAlignment="1" pivotButton="0" quotePrefix="0" xfId="0">
      <alignment horizontal="left" vertical="top" wrapText="1" indent="1"/>
    </xf>
    <xf numFmtId="0" fontId="6" fillId="0" borderId="2" applyAlignment="1" pivotButton="0" quotePrefix="0" xfId="0">
      <alignment horizontal="left" vertical="top" wrapText="1"/>
    </xf>
    <xf numFmtId="0" fontId="7" fillId="0" borderId="2" applyAlignment="1" pivotButton="0" quotePrefix="0" xfId="0">
      <alignment horizontal="left" vertical="top" wrapText="1"/>
    </xf>
    <xf numFmtId="0" fontId="5" fillId="0" borderId="2" applyAlignment="1" pivotButton="0" quotePrefix="0" xfId="0">
      <alignment horizontal="left" vertical="top" wrapText="1"/>
    </xf>
    <xf numFmtId="164"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center" vertical="top"/>
    </xf>
    <xf numFmtId="0" fontId="11" fillId="0" borderId="0" applyAlignment="1" pivotButton="0" quotePrefix="0" xfId="0">
      <alignment horizontal="left" vertical="center"/>
    </xf>
    <xf numFmtId="3" fontId="12" fillId="0" borderId="0" applyAlignment="1" pivotButton="0" quotePrefix="0" xfId="0">
      <alignment horizontal="left" vertical="center"/>
    </xf>
    <xf numFmtId="0" fontId="11" fillId="0" borderId="0" applyAlignment="1" pivotButton="0" quotePrefix="0" xfId="0">
      <alignment horizontal="right" vertical="center"/>
    </xf>
    <xf numFmtId="167" fontId="12" fillId="0" borderId="0" applyAlignment="1" pivotButton="0" quotePrefix="0" xfId="0">
      <alignment horizontal="left" vertical="center" indent="1"/>
    </xf>
    <xf numFmtId="0" fontId="13" fillId="6" borderId="7" applyAlignment="1" pivotButton="0" quotePrefix="0" xfId="0">
      <alignment horizontal="center" vertical="center"/>
    </xf>
    <xf numFmtId="0" fontId="14" fillId="7" borderId="7" applyAlignment="1" pivotButton="0" quotePrefix="0" xfId="0">
      <alignment horizontal="center" vertical="center"/>
    </xf>
    <xf numFmtId="0" fontId="15" fillId="8" borderId="7" applyAlignment="1" pivotButton="0" quotePrefix="0" xfId="0">
      <alignment horizontal="center" vertical="center"/>
    </xf>
    <xf numFmtId="0" fontId="16" fillId="9" borderId="7" applyAlignment="1" pivotButton="0" quotePrefix="0" xfId="0">
      <alignment horizontal="center" vertical="center"/>
    </xf>
    <xf numFmtId="0" fontId="17" fillId="10" borderId="7" applyAlignment="1" pivotButton="0" quotePrefix="0" xfId="0">
      <alignment horizontal="center" vertical="center"/>
    </xf>
    <xf numFmtId="0" fontId="6" fillId="0" borderId="2" applyAlignment="1" pivotButton="0" quotePrefix="0" xfId="0">
      <alignment horizontal="left" vertical="top"/>
    </xf>
    <xf numFmtId="170" fontId="5" fillId="0" borderId="2" applyAlignment="1" pivotButton="0" quotePrefix="0" xfId="0">
      <alignment horizontal="left" vertical="top"/>
    </xf>
    <xf numFmtId="0" fontId="5" fillId="0" borderId="2" applyAlignment="1" pivotButton="0" quotePrefix="0" xfId="0">
      <alignment horizontal="left" vertical="top"/>
    </xf>
    <xf numFmtId="3" fontId="5" fillId="0" borderId="2" applyAlignment="1" pivotButton="0" quotePrefix="0" xfId="0">
      <alignment horizontal="right" vertical="top"/>
    </xf>
    <xf numFmtId="4" fontId="5" fillId="0" borderId="2" applyAlignment="1" pivotButton="0" quotePrefix="0" xfId="0">
      <alignment horizontal="right" vertical="top"/>
    </xf>
    <xf numFmtId="0" fontId="20" fillId="4" borderId="10" applyAlignment="1" pivotButton="0" quotePrefix="0" xfId="0">
      <alignment horizontal="left" vertical="bottom" indent="1"/>
    </xf>
    <xf numFmtId="0" fontId="0" fillId="0" borderId="12" pivotButton="0" quotePrefix="0" xfId="0"/>
    <xf numFmtId="0" fontId="0" fillId="0" borderId="11" pivotButton="0" quotePrefix="0" xfId="0"/>
    <xf numFmtId="0" fontId="18" fillId="4" borderId="8" applyAlignment="1" pivotButton="0" quotePrefix="0" xfId="0">
      <alignment horizontal="left" vertical="center" indent="1"/>
    </xf>
    <xf numFmtId="0" fontId="0" fillId="0" borderId="9" pivotButton="0" quotePrefix="0" xfId="0"/>
    <xf numFmtId="1" fontId="10" fillId="3" borderId="8" applyAlignment="1" pivotButton="0" quotePrefix="0" xfId="0">
      <alignment horizontal="right" vertical="center"/>
    </xf>
    <xf numFmtId="0" fontId="8" fillId="0" borderId="0" applyAlignment="1" pivotButton="0" quotePrefix="0" xfId="0">
      <alignment horizontal="left" vertical="center" wrapText="1" indent="1"/>
    </xf>
    <xf numFmtId="167" fontId="21" fillId="4" borderId="13" applyAlignment="1" pivotButton="0" quotePrefix="0" xfId="0">
      <alignment horizontal="left" vertical="center" indent="1"/>
    </xf>
    <xf numFmtId="0" fontId="0" fillId="0" borderId="14" pivotButton="0" quotePrefix="0" xfId="0"/>
    <xf numFmtId="3" fontId="21" fillId="4" borderId="13" applyAlignment="1" pivotButton="0" quotePrefix="0" xfId="0">
      <alignment horizontal="left" vertical="center" indent="1"/>
    </xf>
    <xf numFmtId="1" fontId="21" fillId="4" borderId="13" applyAlignment="1" pivotButton="0" quotePrefix="0" xfId="0">
      <alignment horizontal="left" vertical="center" indent="1"/>
    </xf>
    <xf numFmtId="174" fontId="22" fillId="4" borderId="13" applyAlignment="1" pivotButton="0" quotePrefix="0" xfId="0">
      <alignment horizontal="left" vertical="top" indent="1"/>
    </xf>
    <xf numFmtId="175" fontId="22" fillId="4" borderId="13" applyAlignment="1" pivotButton="0" quotePrefix="0" xfId="0">
      <alignment horizontal="left" vertical="top" indent="1"/>
    </xf>
    <xf numFmtId="176" fontId="22" fillId="4" borderId="13" applyAlignment="1" pivotButton="0" quotePrefix="0" xfId="0">
      <alignment horizontal="left" vertical="top" indent="1"/>
    </xf>
    <xf numFmtId="177" fontId="22" fillId="4" borderId="13" applyAlignment="1" pivotButton="0" quotePrefix="0" xfId="0">
      <alignment horizontal="left" vertical="top" indent="1"/>
    </xf>
    <xf numFmtId="9" fontId="10" fillId="3" borderId="8" applyAlignment="1" pivotButton="0" quotePrefix="0" xfId="0">
      <alignment horizontal="right" vertical="center"/>
    </xf>
    <xf numFmtId="0" fontId="19" fillId="11" borderId="7" applyAlignment="1" pivotButton="0" quotePrefix="0" xfId="0">
      <alignment horizontal="center" vertical="center"/>
    </xf>
    <xf numFmtId="0" fontId="20" fillId="0" borderId="0" pivotButton="0" quotePrefix="0" xfId="0"/>
    <xf numFmtId="3" fontId="10" fillId="3" borderId="2" applyAlignment="1" pivotButton="0" quotePrefix="0" xfId="0">
      <alignment horizontal="right" vertical="top"/>
    </xf>
    <xf numFmtId="171" fontId="5" fillId="0" borderId="2" applyAlignment="1" pivotButton="0" quotePrefix="0" xfId="0">
      <alignment horizontal="right" vertical="top"/>
    </xf>
    <xf numFmtId="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23" fillId="0" borderId="0" pivotButton="0" quotePrefix="0" xfId="0"/>
    <xf numFmtId="1" fontId="23" fillId="0" borderId="0" pivotButton="0" quotePrefix="0" xfId="0"/>
    <xf numFmtId="0" fontId="22" fillId="0" borderId="2" applyAlignment="1" pivotButton="0" quotePrefix="0" xfId="0">
      <alignment horizontal="left" vertical="center"/>
    </xf>
    <xf numFmtId="9" fontId="25" fillId="4" borderId="0" applyAlignment="1" pivotButton="0" quotePrefix="0" xfId="0">
      <alignment horizontal="center" vertical="center"/>
    </xf>
    <xf numFmtId="0" fontId="18" fillId="4" borderId="0" applyAlignment="1" pivotButton="0" quotePrefix="0" xfId="0">
      <alignment horizontal="left" vertical="center" indent="1"/>
    </xf>
    <xf numFmtId="180" fontId="26" fillId="4" borderId="0" applyAlignment="1" pivotButton="0" quotePrefix="0" xfId="0">
      <alignment horizontal="right" vertical="center"/>
    </xf>
    <xf numFmtId="178" fontId="7" fillId="0" borderId="2" applyAlignment="1" pivotButton="0" quotePrefix="0" xfId="0">
      <alignment horizontal="left" vertical="center"/>
    </xf>
    <xf numFmtId="180" fontId="27" fillId="4" borderId="0" applyAlignment="1" pivotButton="0" quotePrefix="0" xfId="0">
      <alignment horizontal="right" vertical="center"/>
    </xf>
    <xf numFmtId="167" fontId="24" fillId="3" borderId="2" applyAlignment="1" pivotButton="0" quotePrefix="0" xfId="0">
      <alignment horizontal="left" vertical="center"/>
    </xf>
    <xf numFmtId="0" fontId="24" fillId="3" borderId="6" pivotButton="0" quotePrefix="0" xfId="0"/>
    <xf numFmtId="180" fontId="28" fillId="4" borderId="0" applyAlignment="1" pivotButton="0" quotePrefix="0" xfId="0">
      <alignment horizontal="right" vertical="center"/>
    </xf>
    <xf numFmtId="179" fontId="24" fillId="3" borderId="2" applyAlignment="1" pivotButton="0" quotePrefix="0" xfId="0">
      <alignment horizontal="left" vertical="center"/>
    </xf>
    <xf numFmtId="180" fontId="29" fillId="4" borderId="0" applyAlignment="1" pivotButton="0" quotePrefix="0" xfId="0">
      <alignment horizontal="right" vertical="center"/>
    </xf>
    <xf numFmtId="0" fontId="30" fillId="10" borderId="7" applyAlignment="1" pivotButton="0" quotePrefix="0" xfId="0">
      <alignment horizontal="center" vertical="center"/>
    </xf>
    <xf numFmtId="0" fontId="8" fillId="0" borderId="0" applyAlignment="1" pivotButton="0" quotePrefix="0" xfId="0">
      <alignment horizontal="left" vertical="center"/>
    </xf>
    <xf numFmtId="0" fontId="4" fillId="2" borderId="15" applyAlignment="1" pivotButton="0" quotePrefix="0" xfId="0">
      <alignment horizontal="center" vertical="center" wrapText="1"/>
    </xf>
    <xf numFmtId="182" fontId="4" fillId="13" borderId="18" applyAlignment="1" pivotButton="0" quotePrefix="0" xfId="0">
      <alignment horizontal="center" vertical="center"/>
    </xf>
    <xf numFmtId="183" fontId="4" fillId="13" borderId="18" applyAlignment="1" pivotButton="0" quotePrefix="0" xfId="0">
      <alignment horizontal="center" vertical="center"/>
    </xf>
    <xf numFmtId="0" fontId="0" fillId="0" borderId="16" pivotButton="0" quotePrefix="0" xfId="0"/>
    <xf numFmtId="181" fontId="31" fillId="12" borderId="17" applyAlignment="1" pivotButton="0" quotePrefix="0" xfId="0">
      <alignment horizontal="center" vertical="center"/>
    </xf>
    <xf numFmtId="181" fontId="32" fillId="12" borderId="17" applyAlignment="1" pivotButton="0" quotePrefix="0" xfId="0">
      <alignment horizontal="center" vertical="center"/>
    </xf>
    <xf numFmtId="0" fontId="6" fillId="0" borderId="2" applyAlignment="1" pivotButton="0" quotePrefix="0" xfId="0">
      <alignment horizontal="left" vertical="center"/>
    </xf>
    <xf numFmtId="0" fontId="5" fillId="0" borderId="2" applyAlignment="1" pivotButton="0" quotePrefix="0" xfId="0">
      <alignment horizontal="left" vertical="center" wrapText="1"/>
    </xf>
    <xf numFmtId="170" fontId="5" fillId="0" borderId="2" applyAlignment="1" pivotButton="0" quotePrefix="0" xfId="0">
      <alignment horizontal="left" vertical="center"/>
    </xf>
    <xf numFmtId="1" fontId="5" fillId="0" borderId="2" applyAlignment="1" pivotButton="0" quotePrefix="0" xfId="0">
      <alignment horizontal="center" vertical="center"/>
    </xf>
    <xf numFmtId="9" fontId="5" fillId="0" borderId="2" applyAlignment="1" pivotButton="0" quotePrefix="0" xfId="0">
      <alignment horizontal="right" vertical="center"/>
    </xf>
    <xf numFmtId="0" fontId="0" fillId="0" borderId="19" pivotButton="0" quotePrefix="0" xfId="0"/>
    <xf numFmtId="0" fontId="6" fillId="4" borderId="2" applyAlignment="1" pivotButton="0" quotePrefix="0" xfId="0">
      <alignment horizontal="left" vertical="center"/>
    </xf>
    <xf numFmtId="0" fontId="6" fillId="4" borderId="2" applyAlignment="1" pivotButton="0" quotePrefix="0" xfId="0">
      <alignment horizontal="left" vertical="center" wrapText="1"/>
    </xf>
    <xf numFmtId="170" fontId="6" fillId="4" borderId="2" applyAlignment="1" pivotButton="0" quotePrefix="0" xfId="0">
      <alignment horizontal="left" vertical="center"/>
    </xf>
    <xf numFmtId="1" fontId="6" fillId="4" borderId="2" applyAlignment="1" pivotButton="0" quotePrefix="0" xfId="0">
      <alignment horizontal="center" vertical="center"/>
    </xf>
    <xf numFmtId="0" fontId="6" fillId="4" borderId="2" applyAlignment="1" pivotButton="0" quotePrefix="0" xfId="0">
      <alignment horizontal="center" vertical="center"/>
    </xf>
    <xf numFmtId="9" fontId="6" fillId="4" borderId="2" applyAlignment="1" pivotButton="0" quotePrefix="0" xfId="0">
      <alignment horizontal="right" vertical="center"/>
    </xf>
    <xf numFmtId="0" fontId="33" fillId="4" borderId="19" applyAlignment="1" pivotButton="0" quotePrefix="0" xfId="0">
      <alignment horizontal="center" vertical="center"/>
    </xf>
    <xf numFmtId="0" fontId="6" fillId="0" borderId="2" applyAlignment="1" pivotButton="0" quotePrefix="0" xfId="0">
      <alignment horizontal="left" vertical="top" indent="1"/>
    </xf>
    <xf numFmtId="0" fontId="7" fillId="0" borderId="2" applyAlignment="1" pivotButton="0" quotePrefix="0" xfId="0">
      <alignment horizontal="left" vertical="top" wrapText="1" indent="1"/>
    </xf>
    <xf numFmtId="0" fontId="0" fillId="0" borderId="2" pivotButton="0" quotePrefix="0" xfId="0"/>
    <xf numFmtId="0" fontId="6" fillId="5" borderId="2" applyAlignment="1" pivotButton="0" quotePrefix="0" xfId="0">
      <alignment horizontal="left" vertical="top" indent="1"/>
    </xf>
    <xf numFmtId="0" fontId="7" fillId="5" borderId="2" applyAlignment="1" pivotButton="0" quotePrefix="0" xfId="0">
      <alignment horizontal="left" vertical="top" wrapText="1" indent="1"/>
    </xf>
    <xf numFmtId="0" fontId="0" fillId="5" borderId="2" pivotButton="0" quotePrefix="0" xfId="0"/>
  </cellXfs>
  <cellStyles count="1">
    <cellStyle name="Normal" xfId="0" builtinId="0" hidden="0"/>
  </cellStyles>
  <dxfs count="21">
    <dxf>
      <font>
        <name val="Arial"/>
        <b val="1"/>
        <color rgb="003F7A5F"/>
      </font>
    </dxf>
    <dxf>
      <font>
        <name val="Arial"/>
        <b val="1"/>
        <color rgb="00B23B2E"/>
      </font>
    </dxf>
    <dxf>
      <font>
        <name val="Arial"/>
        <b val="1"/>
        <color rgb="00B23B2E"/>
      </font>
      <fill>
        <patternFill patternType="solid">
          <fgColor rgb="00F3D3CE"/>
          <bgColor rgb="00F3D3CE"/>
        </patternFill>
      </fill>
    </dxf>
    <dxf>
      <fill>
        <patternFill patternType="solid">
          <fgColor rgb="00FAF8F5"/>
          <bgColor rgb="00FAF8F5"/>
        </patternFill>
      </fill>
    </dxf>
    <dxf>
      <font>
        <name val="Arial"/>
        <b val="1"/>
        <color rgb="00C2603A"/>
      </font>
    </dxf>
    <dxf>
      <font>
        <name val="Arial"/>
        <b val="1"/>
        <color rgb="002F6B4F"/>
      </font>
      <fill>
        <patternFill patternType="solid">
          <fgColor rgb="00E2EFE7"/>
          <bgColor rgb="00E2EFE7"/>
        </patternFill>
      </fill>
    </dxf>
    <dxf>
      <font>
        <name val="Arial"/>
        <b val="1"/>
        <color rgb="002B4C7E"/>
      </font>
      <fill>
        <patternFill patternType="solid">
          <fgColor rgb="00E1E9F4"/>
          <bgColor rgb="00E1E9F4"/>
        </patternFill>
      </fill>
    </dxf>
    <dxf>
      <font>
        <name val="Arial"/>
        <b val="1"/>
        <color rgb="0086561C"/>
      </font>
      <fill>
        <patternFill patternType="solid">
          <fgColor rgb="00F6ECDD"/>
          <bgColor rgb="00F6ECDD"/>
        </patternFill>
      </fill>
    </dxf>
    <dxf>
      <font>
        <name val="Arial"/>
        <b val="1"/>
        <color rgb="00A3421C"/>
      </font>
      <fill>
        <patternFill patternType="solid">
          <fgColor rgb="00F9E0D3"/>
          <bgColor rgb="00F9E0D3"/>
        </patternFill>
      </fill>
    </dxf>
    <dxf>
      <font>
        <name val="Arial"/>
        <b val="1"/>
        <color rgb="0077716A"/>
      </font>
      <fill>
        <patternFill patternType="solid">
          <fgColor rgb="00ECEAE7"/>
          <bgColor rgb="00ECEAE7"/>
        </patternFill>
      </fill>
    </dxf>
    <dxf>
      <font>
        <name val="Arial"/>
        <strike val="1"/>
        <color rgb="009A948C"/>
      </font>
    </dxf>
    <dxf>
      <numFmt numFmtId="200" formatCode="#,##0"/>
      <fill>
        <patternFill patternType="solid">
          <fgColor rgb="00FAF8F5"/>
          <bgColor rgb="00FAF8F5"/>
        </patternFill>
      </fill>
    </dxf>
    <dxf>
      <numFmt numFmtId="200" formatCode="#,##0"/>
    </dxf>
    <dxf>
      <font>
        <name val="Arial"/>
        <b val="1"/>
        <color rgb="009B2C22"/>
      </font>
      <fill>
        <patternFill patternType="solid">
          <fgColor rgb="00F3D3CE"/>
          <bgColor rgb="00F3D3CE"/>
        </patternFill>
      </fill>
    </dxf>
    <dxf>
      <fill>
        <patternFill patternType="solid">
          <fgColor rgb="007FA88F"/>
          <bgColor rgb="007FA88F"/>
        </patternFill>
      </fill>
    </dxf>
    <dxf>
      <fill>
        <patternFill patternType="solid">
          <fgColor rgb="00D9824F"/>
          <bgColor rgb="00D9824F"/>
        </patternFill>
      </fill>
    </dxf>
    <dxf>
      <fill>
        <patternFill patternType="solid">
          <fgColor rgb="002B4C7E"/>
          <bgColor rgb="002B4C7E"/>
        </patternFill>
      </fill>
    </dxf>
    <dxf>
      <fill>
        <patternFill patternType="solid">
          <fgColor rgb="00B9C3D3"/>
          <bgColor rgb="00B9C3D3"/>
        </patternFill>
      </fill>
    </dxf>
    <dxf>
      <fill>
        <patternFill patternType="solid">
          <fgColor rgb="00FBE9DD"/>
          <bgColor rgb="00FBE9DD"/>
        </patternFill>
      </fill>
    </dxf>
    <dxf>
      <font>
        <name val="Arial"/>
        <b val="1"/>
        <color rgb="00FFFFFF"/>
      </font>
      <fill>
        <patternFill patternType="solid">
          <fgColor rgb="00C2603A"/>
          <bgColor rgb="00C2603A"/>
        </patternFill>
      </fill>
    </dxf>
    <dxf>
      <font>
        <name val="Arial"/>
        <b val="1"/>
        <color rgb="005F5953"/>
      </font>
      <fill>
        <patternFill patternType="solid">
          <fgColor rgb="00ECEAE7"/>
          <bgColor rgb="00ECEA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sz="1200" b="1">
                <a:solidFill>
                  <a:srgbClr val="1F2A44"/>
                </a:solidFill>
                <a:latin typeface="Arial"/>
              </a:defRPr>
            </a:pPr>
            <a:r>
              <a:rPr sz="1200" b="1">
                <a:solidFill>
                  <a:srgbClr val="1F2A44"/>
                </a:solidFill>
                <a:latin typeface="Arial"/>
              </a:rPr>
              <a:t>Monthly net revenue vs. target (USD)</a:t>
            </a:r>
          </a:p>
        </rich>
      </tx>
      <overlay val="0"/>
    </title>
    <plotArea>
      <barChart>
        <barDir val="col"/>
        <grouping val="clustered"/>
        <ser>
          <idx val="0"/>
          <order val="0"/>
          <tx>
            <strRef>
              <f>'Executive Overview'!C29</f>
              <strCache>
                <ptCount val="1"/>
                <pt idx="0">
                  <v>Net revenue (USD)</v>
                </pt>
              </strCache>
            </strRef>
          </tx>
          <spPr>
            <a:solidFill xmlns:a="http://schemas.openxmlformats.org/drawingml/2006/main">
              <a:srgbClr val="1F2A44"/>
            </a:solidFill>
            <a:ln xmlns:a="http://schemas.openxmlformats.org/drawingml/2006/main">
              <a:solidFill>
                <a:srgbClr val="1F2A44"/>
              </a:solidFill>
              <a:prstDash val="solid"/>
            </a:ln>
          </spPr>
          <cat>
            <numRef>
              <f>'Executive Overview'!$B$30:$B$38</f>
              <numCache>
                <formatCode>mmm</formatCode>
                <ptCount val="9"/>
                <pt idx="0">
                  <v>46023</v>
                </pt>
                <pt idx="1">
                  <v>46054</v>
                </pt>
                <pt idx="2">
                  <v>46082</v>
                </pt>
                <pt idx="3">
                  <v>46113</v>
                </pt>
                <pt idx="4">
                  <v>46143</v>
                </pt>
                <pt idx="5">
                  <v>46174</v>
                </pt>
                <pt idx="6">
                  <v>46204</v>
                </pt>
                <pt idx="7">
                  <v>46235</v>
                </pt>
                <pt idx="8">
                  <v>46266</v>
                </pt>
              </numCache>
            </numRef>
          </cat>
          <val>
            <numRef>
              <f>'Executive Overview'!$C$30:$C$38</f>
              <numCache>
                <formatCode>General</formatCode>
                <ptCount val="9"/>
                <pt idx="0">
                  <v>227340.64</v>
                </pt>
                <pt idx="1">
                  <v>245868.29</v>
                </pt>
                <pt idx="2">
                  <v>202352.71</v>
                </pt>
                <pt idx="3">
                  <v>213488.04</v>
                </pt>
                <pt idx="4">
                  <v>257526.76</v>
                </pt>
                <pt idx="5">
                  <v>251986.98</v>
                </pt>
                <pt idx="6">
                  <v>275649.48</v>
                </pt>
                <pt idx="7">
                  <v>316746.08</v>
                </pt>
                <pt idx="8">
                  <v>265479.69</v>
                </pt>
              </numCache>
            </numRef>
          </val>
        </ser>
        <gapWidth val="45"/>
        <axId val="10"/>
        <axId val="100"/>
      </barChart>
      <lineChart>
        <grouping val="standard"/>
        <ser>
          <idx val="1"/>
          <order val="1"/>
          <tx>
            <strRef>
              <f>'Executive Overview'!E29</f>
              <strCache>
                <ptCount val="1"/>
                <pt idx="0">
                  <v>Target (USD)</v>
                </pt>
              </strCache>
            </strRef>
          </tx>
          <spPr>
            <a:ln xmlns:a="http://schemas.openxmlformats.org/drawingml/2006/main" w="31750">
              <a:solidFill>
                <a:srgbClr val="C2603A"/>
              </a:solidFill>
              <a:prstDash val="solid"/>
            </a:ln>
          </spPr>
          <marker>
            <symbol val="circle"/>
            <size val="6"/>
            <spPr>
              <a:solidFill xmlns:a="http://schemas.openxmlformats.org/drawingml/2006/main">
                <a:srgbClr val="C2603A"/>
              </a:solidFill>
              <a:ln xmlns:a="http://schemas.openxmlformats.org/drawingml/2006/main">
                <a:solidFill>
                  <a:srgbClr val="FFFFFF"/>
                </a:solidFill>
                <a:prstDash val="solid"/>
              </a:ln>
            </spPr>
          </marker>
          <cat>
            <numRef>
              <f>'Executive Overview'!$B$30:$B$38</f>
              <numCache>
                <formatCode>mmm</formatCode>
                <ptCount val="9"/>
                <pt idx="0">
                  <v>46023</v>
                </pt>
                <pt idx="1">
                  <v>46054</v>
                </pt>
                <pt idx="2">
                  <v>46082</v>
                </pt>
                <pt idx="3">
                  <v>46113</v>
                </pt>
                <pt idx="4">
                  <v>46143</v>
                </pt>
                <pt idx="5">
                  <v>46174</v>
                </pt>
                <pt idx="6">
                  <v>46204</v>
                </pt>
                <pt idx="7">
                  <v>46235</v>
                </pt>
                <pt idx="8">
                  <v>46266</v>
                </pt>
              </numCache>
            </numRef>
          </cat>
          <val>
            <numRef>
              <f>'Executive Overview'!$E$30:$E$38</f>
              <numCache>
                <formatCode>General</formatCode>
                <ptCount val="9"/>
                <pt idx="0">
                  <v>220000</v>
                </pt>
                <pt idx="1">
                  <v>250000</v>
                </pt>
                <pt idx="2">
                  <v>210000</v>
                </pt>
                <pt idx="3">
                  <v>210000</v>
                </pt>
                <pt idx="4">
                  <v>245000</v>
                </pt>
                <pt idx="5">
                  <v>255000</v>
                </pt>
                <pt idx="6">
                  <v>265000</v>
                </pt>
                <pt idx="7">
                  <v>295000</v>
                </pt>
                <pt idx="8">
                  <v>280000</v>
                </pt>
              </numCache>
            </numRef>
          </val>
          <smooth val="0"/>
        </ser>
        <axId val="10"/>
        <axId val="100"/>
      </lineChart>
      <catAx>
        <axId val="10"/>
        <scaling>
          <orientation val="minMax"/>
        </scaling>
        <delete val="0"/>
        <axPos val="l"/>
        <numFmt formatCode="mmm" sourceLinked="0"/>
        <majorTickMark val="none"/>
        <minorTickMark val="none"/>
        <spPr>
          <a:ln xmlns:a="http://schemas.openxmlformats.org/drawingml/2006/main">
            <a:solidFill>
              <a:srgbClr val="DDD6CB"/>
            </a:solidFill>
            <a:prstDash val="solid"/>
          </a:ln>
        </spPr>
        <txPr>
          <a:bodyPr xmlns:a="http://schemas.openxmlformats.org/drawingml/2006/main"/>
          <a:p xmlns:a="http://schemas.openxmlformats.org/drawingml/2006/main">
            <a:pPr>
              <a:defRPr sz="900" b="0">
                <a:solidFill>
                  <a:srgbClr val="6B645C"/>
                </a:solidFill>
                <a:latin typeface="Arial"/>
              </a:defRPr>
            </a:pPr>
            <a:r>
              <a:t/>
            </a:r>
            <a:endParaRPr sz="900" b="0">
              <a:solidFill>
                <a:srgbClr val="6B645C"/>
              </a:solidFill>
              <a:latin typeface="Arial"/>
            </a:endParaRPr>
          </a:p>
        </txPr>
        <crossAx val="100"/>
        <lblOffset val="100"/>
      </catAx>
      <valAx>
        <axId val="100"/>
        <scaling>
          <orientation val="minMax"/>
        </scaling>
        <delete val="0"/>
        <axPos val="l"/>
        <majorGridlines>
          <spPr>
            <a:ln xmlns:a="http://schemas.openxmlformats.org/drawingml/2006/main">
              <a:solidFill>
                <a:srgbClr val="ECE7E0"/>
              </a:solidFill>
              <a:prstDash val="solid"/>
            </a:ln>
          </spPr>
        </majorGridlines>
        <numFmt formatCode="$#,##0,&quot;K&quot;" sourceLinked="0"/>
        <majorTickMark val="none"/>
        <minorTickMark val="none"/>
        <spPr>
          <a:ln xmlns:a="http://schemas.openxmlformats.org/drawingml/2006/main">
            <a:noFill/>
            <a:prstDash val="solid"/>
          </a:ln>
        </spPr>
        <txPr>
          <a:bodyPr xmlns:a="http://schemas.openxmlformats.org/drawingml/2006/main"/>
          <a:p xmlns:a="http://schemas.openxmlformats.org/drawingml/2006/main">
            <a:pPr>
              <a:defRPr sz="900" b="0">
                <a:solidFill>
                  <a:srgbClr val="6B645C"/>
                </a:solidFill>
                <a:latin typeface="Arial"/>
              </a:defRPr>
            </a:pPr>
            <a:r>
              <a:t/>
            </a:r>
            <a:endParaRPr sz="900" b="0">
              <a:solidFill>
                <a:srgbClr val="6B645C"/>
              </a:solidFill>
              <a:latin typeface="Arial"/>
            </a:endParaRPr>
          </a:p>
        </txPr>
        <crossAx val="10"/>
      </valAx>
    </plotArea>
    <legend>
      <legendPos val="b"/>
      <txPr>
        <a:bodyPr xmlns:a="http://schemas.openxmlformats.org/drawingml/2006/main"/>
        <a:p xmlns:a="http://schemas.openxmlformats.org/drawingml/2006/main">
          <a:pPr>
            <a:defRPr sz="900" b="0">
              <a:solidFill>
                <a:srgbClr val="2E2A26"/>
              </a:solidFill>
              <a:latin typeface="Arial"/>
            </a:defRPr>
          </a:pPr>
          <a:r>
            <a:t/>
          </a:r>
          <a:endParaRPr sz="900" b="0">
            <a:solidFill>
              <a:srgbClr val="2E2A26"/>
            </a:solidFill>
            <a:latin typeface="Arial"/>
          </a:endParaRPr>
        </a:p>
      </txP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sz="1200" b="1">
                <a:solidFill>
                  <a:srgbClr val="1F2A44"/>
                </a:solidFill>
                <a:latin typeface="Arial"/>
              </a:defRPr>
            </a:pPr>
            <a:r>
              <a:rPr sz="1200" b="1">
                <a:solidFill>
                  <a:srgbClr val="1F2A44"/>
                </a:solidFill>
                <a:latin typeface="Arial"/>
              </a:rPr>
              <a:t>Net revenue by category (USD)</a:t>
            </a:r>
          </a:p>
        </rich>
      </tx>
      <overlay val="0"/>
    </title>
    <plotArea>
      <barChart>
        <barDir val="bar"/>
        <grouping val="clustered"/>
        <ser>
          <idx val="0"/>
          <order val="0"/>
          <tx>
            <strRef>
              <f>'Executive Overview'!N29</f>
              <strCache>
                <ptCount val="1"/>
                <pt idx="0">
                  <v>Net revenue (USD)</v>
                </pt>
              </strCache>
            </strRef>
          </tx>
          <spPr>
            <a:solidFill xmlns:a="http://schemas.openxmlformats.org/drawingml/2006/main">
              <a:srgbClr val="6F86A8"/>
            </a:solidFill>
            <a:ln xmlns:a="http://schemas.openxmlformats.org/drawingml/2006/main">
              <a:solidFill>
                <a:srgbClr val="6F86A8"/>
              </a:solidFill>
              <a:prstDash val="solid"/>
            </a:ln>
          </spPr>
          <cat>
            <strRef>
              <f>'Executive Overview'!$K$30:$K$34</f>
              <strCache>
                <ptCount val="5"/>
                <pt idx="0">
                  <v>Lighting</v>
                </pt>
                <pt idx="1">
                  <v>Textiles</v>
                </pt>
                <pt idx="2">
                  <v>Furniture</v>
                </pt>
                <pt idx="3">
                  <v>Kitchen &amp; Dining</v>
                </pt>
                <pt idx="4">
                  <v>Decor &amp; Rugs</v>
                </pt>
              </strCache>
            </strRef>
          </cat>
          <val>
            <numRef>
              <f>'Executive Overview'!$N$30:$N$34</f>
              <numCache>
                <formatCode>General</formatCode>
                <ptCount val="5"/>
                <pt idx="0">
                  <v>290598.67</v>
                </pt>
                <pt idx="1">
                  <v>569197.76</v>
                </pt>
                <pt idx="2">
                  <v>538680.75</v>
                </pt>
                <pt idx="3">
                  <v>460752.45</v>
                </pt>
                <pt idx="4">
                  <v>397209.04</v>
                </pt>
              </numCache>
            </numRef>
          </val>
        </ser>
        <dLbls>
          <txPr>
            <a:bodyPr xmlns:a="http://schemas.openxmlformats.org/drawingml/2006/main"/>
            <a:p xmlns:a="http://schemas.openxmlformats.org/drawingml/2006/main">
              <a:pPr>
                <a:defRPr sz="900" b="1">
                  <a:solidFill>
                    <a:srgbClr val="FFFFFF"/>
                  </a:solidFill>
                  <a:latin typeface="Arial"/>
                </a:defRPr>
              </a:pPr>
              <a:r>
                <a:t/>
              </a:r>
              <a:endParaRPr sz="900" b="1">
                <a:solidFill>
                  <a:srgbClr val="FFFFFF"/>
                </a:solidFill>
                <a:latin typeface="Arial"/>
              </a:endParaRPr>
            </a:p>
          </txPr>
          <dLblPos val="inEnd"/>
          <showLegendKey val="0"/>
          <showVal val="1"/>
          <showCatName val="0"/>
          <showSerName val="0"/>
          <showPercent val="0"/>
          <showLeaderLines val="0"/>
        </dLbls>
        <gapWidth val="50"/>
        <axId val="10"/>
        <axId val="100"/>
      </barChart>
      <catAx>
        <axId val="10"/>
        <scaling>
          <orientation val="maxMin"/>
        </scaling>
        <delete val="0"/>
        <axPos val="l"/>
        <majorTickMark val="none"/>
        <minorTickMark val="none"/>
        <spPr>
          <a:ln xmlns:a="http://schemas.openxmlformats.org/drawingml/2006/main">
            <a:solidFill>
              <a:srgbClr val="DDD6CB"/>
            </a:solidFill>
            <a:prstDash val="solid"/>
          </a:ln>
        </spPr>
        <txPr>
          <a:bodyPr xmlns:a="http://schemas.openxmlformats.org/drawingml/2006/main"/>
          <a:p xmlns:a="http://schemas.openxmlformats.org/drawingml/2006/main">
            <a:pPr>
              <a:defRPr sz="900" b="0">
                <a:solidFill>
                  <a:srgbClr val="6B645C"/>
                </a:solidFill>
                <a:latin typeface="Arial"/>
              </a:defRPr>
            </a:pPr>
            <a:r>
              <a:t/>
            </a:r>
            <a:endParaRPr sz="900" b="0">
              <a:solidFill>
                <a:srgbClr val="6B645C"/>
              </a:solidFill>
              <a:latin typeface="Arial"/>
            </a:endParaRPr>
          </a:p>
        </txPr>
        <crossAx val="100"/>
        <lblOffset val="100"/>
      </catAx>
      <valAx>
        <axId val="100"/>
        <scaling>
          <orientation val="minMax"/>
        </scaling>
        <delete val="0"/>
        <axPos val="l"/>
        <majorGridlines>
          <spPr>
            <a:ln xmlns:a="http://schemas.openxmlformats.org/drawingml/2006/main">
              <a:solidFill>
                <a:srgbClr val="ECE7E0"/>
              </a:solidFill>
              <a:prstDash val="solid"/>
            </a:ln>
          </spPr>
        </majorGridlines>
        <numFmt formatCode="$#,##0,&quot;K&quot;" sourceLinked="0"/>
        <majorTickMark val="none"/>
        <minorTickMark val="none"/>
        <spPr>
          <a:ln xmlns:a="http://schemas.openxmlformats.org/drawingml/2006/main">
            <a:noFill/>
            <a:prstDash val="solid"/>
          </a:ln>
        </spPr>
        <txPr>
          <a:bodyPr xmlns:a="http://schemas.openxmlformats.org/drawingml/2006/main"/>
          <a:p xmlns:a="http://schemas.openxmlformats.org/drawingml/2006/main">
            <a:pPr>
              <a:defRPr sz="900" b="0">
                <a:solidFill>
                  <a:srgbClr val="6B645C"/>
                </a:solidFill>
                <a:latin typeface="Arial"/>
              </a:defRPr>
            </a:pPr>
            <a:r>
              <a:t/>
            </a:r>
            <a:endParaRPr sz="900" b="0">
              <a:solidFill>
                <a:srgbClr val="6B645C"/>
              </a:solidFill>
              <a:latin typeface="Arial"/>
            </a:endParaRPr>
          </a:p>
        </txPr>
        <crossAx val="10"/>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sz="1100" b="1">
                <a:solidFill>
                  <a:srgbClr val="1F2A44"/>
                </a:solidFill>
                <a:latin typeface="Arial"/>
              </a:defRPr>
            </a:pPr>
            <a:r>
              <a:rPr sz="1100" b="1">
                <a:solidFill>
                  <a:srgbClr val="1F2A44"/>
                </a:solidFill>
                <a:latin typeface="Arial"/>
              </a:rPr>
              <a:t>Net revenue, Jan–Sep: FY2026 vs. FY2025 (USD)</a:t>
            </a:r>
          </a:p>
        </rich>
      </tx>
      <overlay val="0"/>
    </title>
    <plotArea>
      <barChart>
        <barDir val="bar"/>
        <grouping val="clustered"/>
        <ser>
          <idx val="0"/>
          <order val="0"/>
          <tx>
            <strRef>
              <f>'Regional Markets'!K7</f>
              <strCache>
                <ptCount val="1"/>
                <pt idx="0">
                  <v>FY2025 Jan–Sep revenue (USD)</v>
                </pt>
              </strCache>
            </strRef>
          </tx>
          <spPr>
            <a:solidFill xmlns:a="http://schemas.openxmlformats.org/drawingml/2006/main">
              <a:srgbClr val="C9BBA6"/>
            </a:solidFill>
            <a:ln xmlns:a="http://schemas.openxmlformats.org/drawingml/2006/main">
              <a:solidFill>
                <a:srgbClr val="C9BBA6"/>
              </a:solidFill>
              <a:prstDash val="solid"/>
            </a:ln>
          </spPr>
          <cat>
            <strRef>
              <f>'Regional Markets'!$B$8:$B$15</f>
              <strCache>
                <ptCount val="8"/>
                <pt idx="0">
                  <v>United States</v>
                </pt>
                <pt idx="1">
                  <v>Canada</v>
                </pt>
                <pt idx="2">
                  <v>United Kingdom</v>
                </pt>
                <pt idx="3">
                  <v>Germany</v>
                </pt>
                <pt idx="4">
                  <v>France</v>
                </pt>
                <pt idx="5">
                  <v>Sweden</v>
                </pt>
                <pt idx="6">
                  <v>Japan</v>
                </pt>
                <pt idx="7">
                  <v>Australia</v>
                </pt>
              </strCache>
            </strRef>
          </cat>
          <val>
            <numRef>
              <f>'Regional Markets'!$K$8:$K$15</f>
              <numCache>
                <formatCode>General</formatCode>
                <ptCount val="8"/>
                <pt idx="0">
                  <v>431000</v>
                </pt>
                <pt idx="1">
                  <v>213000</v>
                </pt>
                <pt idx="2">
                  <v>192000</v>
                </pt>
                <pt idx="3">
                  <v>305000</v>
                </pt>
                <pt idx="4">
                  <v>217000</v>
                </pt>
                <pt idx="5">
                  <v>235000</v>
                </pt>
                <pt idx="6">
                  <v>201000</v>
                </pt>
                <pt idx="7">
                  <v>231000</v>
                </pt>
              </numCache>
            </numRef>
          </val>
        </ser>
        <ser>
          <idx val="1"/>
          <order val="1"/>
          <tx>
            <strRef>
              <f>'Regional Markets'!I7</f>
              <strCache>
                <ptCount val="1"/>
                <pt idx="0">
                  <v>Net revenue (USD)</v>
                </pt>
              </strCache>
            </strRef>
          </tx>
          <spPr>
            <a:solidFill xmlns:a="http://schemas.openxmlformats.org/drawingml/2006/main">
              <a:srgbClr val="1F2A44"/>
            </a:solidFill>
            <a:ln xmlns:a="http://schemas.openxmlformats.org/drawingml/2006/main">
              <a:solidFill>
                <a:srgbClr val="1F2A44"/>
              </a:solidFill>
              <a:prstDash val="solid"/>
            </a:ln>
          </spPr>
          <cat>
            <strRef>
              <f>'Regional Markets'!$B$8:$B$15</f>
              <strCache>
                <ptCount val="8"/>
                <pt idx="0">
                  <v>United States</v>
                </pt>
                <pt idx="1">
                  <v>Canada</v>
                </pt>
                <pt idx="2">
                  <v>United Kingdom</v>
                </pt>
                <pt idx="3">
                  <v>Germany</v>
                </pt>
                <pt idx="4">
                  <v>France</v>
                </pt>
                <pt idx="5">
                  <v>Sweden</v>
                </pt>
                <pt idx="6">
                  <v>Japan</v>
                </pt>
                <pt idx="7">
                  <v>Australia</v>
                </pt>
              </strCache>
            </strRef>
          </cat>
          <val>
            <numRef>
              <f>'Regional Markets'!$I$8:$I$15</f>
              <numCache>
                <formatCode>General</formatCode>
                <ptCount val="8"/>
                <pt idx="0">
                  <v>482249.02</v>
                </pt>
                <pt idx="1">
                  <v>225759.78</v>
                </pt>
                <pt idx="2">
                  <v>184426.8</v>
                </pt>
                <pt idx="3">
                  <v>359484.57</v>
                </pt>
                <pt idx="4">
                  <v>236011.74</v>
                </pt>
                <pt idx="5">
                  <v>241858.41</v>
                </pt>
                <pt idx="6">
                  <v>263723.86</v>
                </pt>
                <pt idx="7">
                  <v>262924.49</v>
                </pt>
              </numCache>
            </numRef>
          </val>
        </ser>
        <gapWidth val="60"/>
        <overlap val="-10"/>
        <axId val="10"/>
        <axId val="100"/>
      </barChart>
      <catAx>
        <axId val="10"/>
        <scaling>
          <orientation val="maxMin"/>
        </scaling>
        <delete val="0"/>
        <axPos val="l"/>
        <majorTickMark val="none"/>
        <minorTickMark val="none"/>
        <spPr>
          <a:ln xmlns:a="http://schemas.openxmlformats.org/drawingml/2006/main">
            <a:solidFill>
              <a:srgbClr val="DDD6CB"/>
            </a:solidFill>
            <a:prstDash val="solid"/>
          </a:ln>
        </spPr>
        <txPr>
          <a:bodyPr xmlns:a="http://schemas.openxmlformats.org/drawingml/2006/main"/>
          <a:p xmlns:a="http://schemas.openxmlformats.org/drawingml/2006/main">
            <a:pPr>
              <a:defRPr sz="900" b="0">
                <a:solidFill>
                  <a:srgbClr val="6B645C"/>
                </a:solidFill>
                <a:latin typeface="Arial"/>
              </a:defRPr>
            </a:pPr>
            <a:r>
              <a:t/>
            </a:r>
            <a:endParaRPr sz="900" b="0">
              <a:solidFill>
                <a:srgbClr val="6B645C"/>
              </a:solidFill>
              <a:latin typeface="Arial"/>
            </a:endParaRPr>
          </a:p>
        </txPr>
        <crossAx val="100"/>
        <lblOffset val="100"/>
      </catAx>
      <valAx>
        <axId val="100"/>
        <scaling>
          <orientation val="minMax"/>
        </scaling>
        <delete val="0"/>
        <axPos val="l"/>
        <majorGridlines>
          <spPr>
            <a:ln xmlns:a="http://schemas.openxmlformats.org/drawingml/2006/main">
              <a:solidFill>
                <a:srgbClr val="ECE7E0"/>
              </a:solidFill>
              <a:prstDash val="solid"/>
            </a:ln>
          </spPr>
        </majorGridlines>
        <numFmt formatCode="$#,##0,&quot;K&quot;" sourceLinked="0"/>
        <majorTickMark val="none"/>
        <minorTickMark val="none"/>
        <spPr>
          <a:ln xmlns:a="http://schemas.openxmlformats.org/drawingml/2006/main">
            <a:noFill/>
            <a:prstDash val="solid"/>
          </a:ln>
        </spPr>
        <txPr>
          <a:bodyPr xmlns:a="http://schemas.openxmlformats.org/drawingml/2006/main"/>
          <a:p xmlns:a="http://schemas.openxmlformats.org/drawingml/2006/main">
            <a:pPr>
              <a:defRPr sz="900" b="0">
                <a:solidFill>
                  <a:srgbClr val="6B645C"/>
                </a:solidFill>
                <a:latin typeface="Arial"/>
              </a:defRPr>
            </a:pPr>
            <a:r>
              <a:t/>
            </a:r>
            <a:endParaRPr sz="900" b="0">
              <a:solidFill>
                <a:srgbClr val="6B645C"/>
              </a:solidFill>
              <a:latin typeface="Arial"/>
            </a:endParaRPr>
          </a:p>
        </txPr>
        <crossAx val="10"/>
      </valAx>
    </plotArea>
    <legend>
      <legendPos val="b"/>
      <txPr>
        <a:bodyPr xmlns:a="http://schemas.openxmlformats.org/drawingml/2006/main"/>
        <a:p xmlns:a="http://schemas.openxmlformats.org/drawingml/2006/main">
          <a:pPr>
            <a:defRPr sz="900" b="0">
              <a:solidFill>
                <a:srgbClr val="2E2A26"/>
              </a:solidFill>
              <a:latin typeface="Arial"/>
            </a:defRPr>
          </a:pPr>
          <a:r>
            <a:t/>
          </a:r>
          <a:endParaRPr sz="900" b="0">
            <a:solidFill>
              <a:srgbClr val="2E2A26"/>
            </a:solidFill>
            <a:latin typeface="Arial"/>
          </a:endParaRPr>
        </a:p>
      </txPr>
    </legend>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sz="1100" b="1">
                <a:solidFill>
                  <a:srgbClr val="1F2A44"/>
                </a:solidFill>
                <a:latin typeface="Arial"/>
              </a:defRPr>
            </a:pPr>
            <a:r>
              <a:rPr sz="1100" b="1">
                <a:solidFill>
                  <a:srgbClr val="1F2A44"/>
                </a:solidFill>
                <a:latin typeface="Arial"/>
              </a:rPr>
              <a:t>Projected days of cover vs. reorder trigger by SKU (capped at 240 days)</a:t>
            </a:r>
          </a:p>
        </rich>
      </tx>
      <overlay val="0"/>
    </title>
    <plotArea>
      <barChart>
        <barDir val="col"/>
        <grouping val="clustered"/>
        <ser>
          <idx val="0"/>
          <order val="0"/>
          <tx>
            <strRef>
              <f>'Inventory &amp; Replenishment'!W12</f>
              <strCache>
                <ptCount val="1"/>
                <pt idx="0">
                  <v>Days of cover</v>
                </pt>
              </strCache>
            </strRef>
          </tx>
          <spPr>
            <a:solidFill xmlns:a="http://schemas.openxmlformats.org/drawingml/2006/main">
              <a:srgbClr val="7C93B5"/>
            </a:solidFill>
            <a:ln xmlns:a="http://schemas.openxmlformats.org/drawingml/2006/main">
              <a:solidFill>
                <a:srgbClr val="7C93B5"/>
              </a:solidFill>
              <a:prstDash val="solid"/>
            </a:ln>
          </spPr>
          <cat>
            <strRef>
              <f>'Inventory &amp; Replenishment'!$V$13:$V$28</f>
              <strCache>
                <ptCount val="16"/>
                <pt idx="0">
                  <v>LL-LGT-101</v>
                </pt>
                <pt idx="1">
                  <v>LL-LGT-104</v>
                </pt>
                <pt idx="2">
                  <v>LL-LGT-112</v>
                </pt>
                <pt idx="3">
                  <v>LL-TXT-201</v>
                </pt>
                <pt idx="4">
                  <v>LL-TXT-205</v>
                </pt>
                <pt idx="5">
                  <v>LL-TXT-210</v>
                </pt>
                <pt idx="6">
                  <v>LL-TXT-214</v>
                </pt>
                <pt idx="7">
                  <v>LL-FUR-301</v>
                </pt>
                <pt idx="8">
                  <v>LL-FUR-305</v>
                </pt>
                <pt idx="9">
                  <v>LL-FUR-309</v>
                </pt>
                <pt idx="10">
                  <v>LL-FUR-316</v>
                </pt>
                <pt idx="11">
                  <v>LL-KIT-401</v>
                </pt>
                <pt idx="12">
                  <v>LL-KIT-406</v>
                </pt>
                <pt idx="13">
                  <v>LL-KIT-410</v>
                </pt>
                <pt idx="14">
                  <v>LL-DEC-501</v>
                </pt>
                <pt idx="15">
                  <v>LL-DEC-507</v>
                </pt>
              </strCache>
            </strRef>
          </cat>
          <val>
            <numRef>
              <f>'Inventory &amp; Replenishment'!$W$13:$W$28</f>
              <numCache>
                <formatCode>General</formatCode>
                <ptCount val="16"/>
                <pt idx="0">
                  <v>168.75</v>
                </pt>
                <pt idx="1">
                  <v>94.3614595210946</v>
                </pt>
                <pt idx="2">
                  <v>175.909090909091</v>
                </pt>
                <pt idx="3">
                  <v>46.7307692307692</v>
                </pt>
                <pt idx="4">
                  <v>111.757532281205</v>
                </pt>
                <pt idx="5">
                  <v>50.3694730466384</v>
                </pt>
                <pt idx="6">
                  <v>94.6911196911197</v>
                </pt>
                <pt idx="7">
                  <v>-12.588424437299</v>
                </pt>
                <pt idx="8">
                  <v>144.642857142857</v>
                </pt>
                <pt idx="9">
                  <v>186.923076923077</v>
                </pt>
                <pt idx="10">
                  <v>163.125</v>
                </pt>
                <pt idx="11">
                  <v>50.1428571428571</v>
                </pt>
                <pt idx="12">
                  <v>161.031390134529</v>
                </pt>
                <pt idx="13">
                  <v>76.9029850746269</v>
                </pt>
                <pt idx="14">
                  <v>62.827564894932</v>
                </pt>
                <pt idx="15">
                  <v>163.655660377359</v>
                </pt>
              </numCache>
            </numRef>
          </val>
        </ser>
        <gapWidth val="55"/>
        <axId val="10"/>
        <axId val="100"/>
      </barChart>
      <lineChart>
        <grouping val="standard"/>
        <ser>
          <idx val="1"/>
          <order val="1"/>
          <tx>
            <strRef>
              <f>'Inventory &amp; Replenishment'!X12</f>
              <strCache>
                <ptCount val="1"/>
                <pt idx="0">
                  <v>Reorder trigger (days)</v>
                </pt>
              </strCache>
            </strRef>
          </tx>
          <spPr>
            <a:ln xmlns:a="http://schemas.openxmlformats.org/drawingml/2006/main">
              <a:noFill/>
              <a:prstDash val="solid"/>
            </a:ln>
          </spPr>
          <marker>
            <symbol val="dash"/>
            <size val="14"/>
            <spPr>
              <a:solidFill xmlns:a="http://schemas.openxmlformats.org/drawingml/2006/main">
                <a:srgbClr val="C2603A"/>
              </a:solidFill>
              <a:ln xmlns:a="http://schemas.openxmlformats.org/drawingml/2006/main">
                <a:solidFill>
                  <a:srgbClr val="C2603A"/>
                </a:solidFill>
                <a:prstDash val="solid"/>
              </a:ln>
            </spPr>
          </marker>
          <val>
            <numRef>
              <f>'Inventory &amp; Replenishment'!$X$13:$X$28</f>
              <numCache>
                <formatCode>General</formatCode>
                <ptCount val="16"/>
                <pt idx="0">
                  <v>77</v>
                </pt>
                <pt idx="1">
                  <v>84</v>
                </pt>
                <pt idx="2">
                  <v>91</v>
                </pt>
                <pt idx="3">
                  <v>63</v>
                </pt>
                <pt idx="4">
                  <v>56</v>
                </pt>
                <pt idx="5">
                  <v>70</v>
                </pt>
                <pt idx="6">
                  <v>59</v>
                </pt>
                <pt idx="7">
                  <v>105</v>
                </pt>
                <pt idx="8">
                  <v>126</v>
                </pt>
                <pt idx="9">
                  <v>112</v>
                </pt>
                <pt idx="10">
                  <v>98</v>
                </pt>
                <pt idx="11">
                  <v>70</v>
                </pt>
                <pt idx="12">
                  <v>77</v>
                </pt>
                <pt idx="13">
                  <v>49</v>
                </pt>
                <pt idx="14">
                  <v>56</v>
                </pt>
                <pt idx="15">
                  <v>98</v>
                </pt>
              </numCache>
            </numRef>
          </val>
          <smooth val="0"/>
        </ser>
        <axId val="10"/>
        <axId val="100"/>
      </lineChart>
      <catAx>
        <axId val="10"/>
        <scaling>
          <orientation val="minMax"/>
        </scaling>
        <delete val="0"/>
        <axPos val="l"/>
        <majorTickMark val="none"/>
        <minorTickMark val="none"/>
        <spPr>
          <a:ln xmlns:a="http://schemas.openxmlformats.org/drawingml/2006/main">
            <a:solidFill>
              <a:srgbClr val="DDD6CB"/>
            </a:solidFill>
            <a:prstDash val="solid"/>
          </a:ln>
        </spPr>
        <txPr>
          <a:bodyPr xmlns:a="http://schemas.openxmlformats.org/drawingml/2006/main"/>
          <a:p xmlns:a="http://schemas.openxmlformats.org/drawingml/2006/main">
            <a:pPr>
              <a:defRPr sz="800" b="0">
                <a:solidFill>
                  <a:srgbClr val="6B645C"/>
                </a:solidFill>
                <a:latin typeface="Arial"/>
              </a:defRPr>
            </a:pPr>
            <a:r>
              <a:t/>
            </a:r>
            <a:endParaRPr sz="800" b="0">
              <a:solidFill>
                <a:srgbClr val="6B645C"/>
              </a:solidFill>
              <a:latin typeface="Arial"/>
            </a:endParaRPr>
          </a:p>
        </txPr>
        <crossAx val="100"/>
        <lblOffset val="100"/>
      </catAx>
      <valAx>
        <axId val="100"/>
        <scaling>
          <orientation val="minMax"/>
        </scaling>
        <delete val="0"/>
        <axPos val="l"/>
        <majorGridlines>
          <spPr>
            <a:ln xmlns:a="http://schemas.openxmlformats.org/drawingml/2006/main">
              <a:solidFill>
                <a:srgbClr val="ECE7E0"/>
              </a:solidFill>
              <a:prstDash val="solid"/>
            </a:ln>
          </spPr>
        </majorGridlines>
        <numFmt formatCode="0" sourceLinked="0"/>
        <majorTickMark val="none"/>
        <minorTickMark val="none"/>
        <spPr>
          <a:ln xmlns:a="http://schemas.openxmlformats.org/drawingml/2006/main">
            <a:noFill/>
            <a:prstDash val="solid"/>
          </a:ln>
        </spPr>
        <txPr>
          <a:bodyPr xmlns:a="http://schemas.openxmlformats.org/drawingml/2006/main"/>
          <a:p xmlns:a="http://schemas.openxmlformats.org/drawingml/2006/main">
            <a:pPr>
              <a:defRPr sz="900" b="0">
                <a:solidFill>
                  <a:srgbClr val="6B645C"/>
                </a:solidFill>
                <a:latin typeface="Arial"/>
              </a:defRPr>
            </a:pPr>
            <a:r>
              <a:t/>
            </a:r>
            <a:endParaRPr sz="900" b="0">
              <a:solidFill>
                <a:srgbClr val="6B645C"/>
              </a:solidFill>
              <a:latin typeface="Arial"/>
            </a:endParaRPr>
          </a:p>
        </txPr>
        <crossAx val="10"/>
      </valAx>
    </plotArea>
    <legend>
      <legendPos val="b"/>
      <txPr>
        <a:bodyPr xmlns:a="http://schemas.openxmlformats.org/drawingml/2006/main"/>
        <a:p xmlns:a="http://schemas.openxmlformats.org/drawingml/2006/main">
          <a:pPr>
            <a:defRPr sz="900" b="0">
              <a:solidFill>
                <a:srgbClr val="2E2A26"/>
              </a:solidFill>
              <a:latin typeface="Arial"/>
            </a:defRPr>
          </a:pPr>
          <a:r>
            <a:t/>
          </a:r>
          <a:endParaRPr sz="900" b="0">
            <a:solidFill>
              <a:srgbClr val="2E2A26"/>
            </a:solidFill>
            <a:latin typeface="Arial"/>
          </a:endParaRPr>
        </a:p>
      </txP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_rels/drawing2.xml.rels><Relationships xmlns="http://schemas.openxmlformats.org/package/2006/relationships"><Relationship Type="http://schemas.openxmlformats.org/officeDocument/2006/relationships/chart" Target="/xl/charts/chart3.xml" Id="rId1"/></Relationships>
</file>

<file path=xl/drawings/_rels/drawing3.xml.rels><Relationships xmlns="http://schemas.openxmlformats.org/package/2006/relationships"><Relationship Type="http://schemas.openxmlformats.org/officeDocument/2006/relationships/chart" Target="/xl/charts/chart4.xml" Id="rId1"/></Relationships>
</file>

<file path=xl/drawings/drawing1.xml><?xml version="1.0" encoding="utf-8"?>
<wsDr xmlns="http://schemas.openxmlformats.org/drawingml/2006/spreadsheetDrawing">
  <twoCellAnchor editAs="oneCell">
    <from>
      <col>1</col>
      <colOff>0</colOff>
      <row>10</row>
      <rowOff>0</rowOff>
    </from>
    <to>
      <col>9</col>
      <colOff>0</colOff>
      <row>26</row>
      <rowOff>0</rowOff>
    </to>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twoCellAnchor>
  <twoCellAnchor editAs="oneCell">
    <from>
      <col>10</col>
      <colOff>0</colOff>
      <row>10</row>
      <rowOff>0</rowOff>
    </from>
    <to>
      <col>15</col>
      <colOff>0</colOff>
      <row>26</row>
      <rowOff>0</rowOff>
    </to>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twoCellAnchor>
</wsDr>
</file>

<file path=xl/drawings/drawing2.xml><?xml version="1.0" encoding="utf-8"?>
<wsDr xmlns="http://schemas.openxmlformats.org/drawingml/2006/spreadsheetDrawing">
  <twoCellAnchor editAs="oneCell">
    <from>
      <col>1</col>
      <colOff>0</colOff>
      <row>19</row>
      <rowOff>0</rowOff>
    </from>
    <to>
      <col>8</col>
      <colOff>0</colOff>
      <row>37</row>
      <rowOff>0</rowOff>
    </to>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twoCellAnchor>
</wsDr>
</file>

<file path=xl/drawings/drawing3.xml><?xml version="1.0" encoding="utf-8"?>
<wsDr xmlns="http://schemas.openxmlformats.org/drawingml/2006/spreadsheetDrawing">
  <twoCellAnchor editAs="oneCell">
    <from>
      <col>1</col>
      <colOff>0</colOff>
      <row>31</row>
      <rowOff>0</rowOff>
    </from>
    <to>
      <col>12</col>
      <colOff>0</colOff>
      <row>49</row>
      <rowOff>0</rowOff>
    </to>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two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5.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tabColor rgb="001F2A44"/>
    <outlinePr summaryBelow="1" summaryRight="1"/>
    <pageSetUpPr fitToPage="1"/>
  </sheetPr>
  <dimension ref="A1:P56"/>
  <sheetViews>
    <sheetView showGridLines="0" zoomScale="100" workbookViewId="0">
      <selection activeCell="A1" sqref="A1"/>
    </sheetView>
  </sheetViews>
  <sheetFormatPr baseColWidth="8" defaultRowHeight="15"/>
  <cols>
    <col width="2.5" customWidth="1" min="1" max="1"/>
    <col width="13.5" customWidth="1" min="2" max="2"/>
    <col width="13.5" customWidth="1" min="3" max="3"/>
    <col width="2.5" customWidth="1" min="4" max="4"/>
    <col width="13.5" customWidth="1" min="5" max="5"/>
    <col width="13.5" customWidth="1" min="6" max="6"/>
    <col width="2.5" customWidth="1" min="7" max="7"/>
    <col width="13.5" customWidth="1" min="8" max="8"/>
    <col width="13.5" customWidth="1" min="9" max="9"/>
    <col width="2.5" customWidth="1" min="10" max="10"/>
    <col width="13.5" customWidth="1" min="11" max="11"/>
    <col width="13.5" customWidth="1" min="12" max="12"/>
    <col width="2.5" customWidth="1" min="13" max="13"/>
    <col width="13.5" customWidth="1" min="14" max="14"/>
    <col width="13.5" customWidth="1" min="15" max="15"/>
    <col width="2.5" customWidth="1" min="16" max="16"/>
  </cols>
  <sheetData>
    <row r="1" ht="8" customHeight="1">
      <c r="A1" s="1" t="n"/>
      <c r="B1" s="1" t="n"/>
      <c r="C1" s="1" t="n"/>
      <c r="D1" s="1" t="n"/>
      <c r="E1" s="1" t="n"/>
      <c r="F1" s="1" t="n"/>
      <c r="G1" s="1" t="n"/>
      <c r="H1" s="1" t="n"/>
      <c r="I1" s="1" t="n"/>
      <c r="J1" s="1" t="n"/>
      <c r="K1" s="1" t="n"/>
      <c r="L1" s="1" t="n"/>
      <c r="M1" s="1" t="n"/>
      <c r="N1" s="1" t="n"/>
      <c r="O1" s="1" t="n"/>
      <c r="P1" s="1" t="n"/>
    </row>
    <row r="2" ht="24" customHeight="1">
      <c r="B2" s="2" t="inlineStr">
        <is>
          <t>LINDEN &amp; LOOM</t>
        </is>
      </c>
      <c r="K2" s="3" t="inlineStr">
        <is>
          <t>FY2026 · JANUARY – SEPTEMBER</t>
        </is>
      </c>
    </row>
    <row r="3" ht="40" customHeight="1">
      <c r="B3" s="4" t="inlineStr">
        <is>
          <t>Global Sales &amp; Operations Report</t>
        </is>
      </c>
    </row>
    <row r="4" ht="22" customHeight="1">
      <c r="B4" s="5" t="inlineStr">
        <is>
          <t>Wholesale and partner channels in eight markets · All values in USD unless otherwise stated</t>
        </is>
      </c>
      <c r="K4" s="6" t="inlineStr">
        <is>
          <t>Report date: 19 October 2026</t>
        </is>
      </c>
    </row>
    <row r="5" ht="12" customHeight="1"/>
    <row r="6" ht="22" customHeight="1">
      <c r="B6" s="7" t="inlineStr">
        <is>
          <t>NET REVENUE</t>
        </is>
      </c>
      <c r="C6" s="8" t="n"/>
      <c r="E6" s="9" t="inlineStr">
        <is>
          <t>ORDERS BOOKED</t>
        </is>
      </c>
      <c r="F6" s="10" t="n"/>
      <c r="H6" s="9" t="inlineStr">
        <is>
          <t>AVERAGE ORDER VALUE</t>
        </is>
      </c>
      <c r="I6" s="10" t="n"/>
      <c r="K6" s="9" t="inlineStr">
        <is>
          <t>GROSS MARGIN</t>
        </is>
      </c>
      <c r="L6" s="10" t="n"/>
      <c r="N6" s="9" t="inlineStr">
        <is>
          <t>OPEN ORDER BACKLOG</t>
        </is>
      </c>
      <c r="O6" s="10" t="n"/>
    </row>
    <row r="7" ht="36" customHeight="1">
      <c r="B7" s="11">
        <f>SUMIFS('International Orders'!$O$8:$O$107,'International Orders'!$P$8:$P$107,"&lt;&gt;"&amp;'International Orders'!$P$5)</f>
        <v>2256438.67</v>
      </c>
      <c r="E7" s="12">
        <f>COUNTIFS('International Orders'!$P$8:$P$107,"&lt;&gt;"&amp;'International Orders'!$P$5)</f>
        <v>97</v>
      </c>
      <c r="H7" s="11">
        <f>IFERROR(B7/E7,0)</f>
        <v>23262.2543298969</v>
      </c>
      <c r="K7" s="13">
        <f>IFERROR(1-SUMPRODUCT(('International Orders'!$P$8:$P$107&lt;&gt;'International Orders'!$P$5)*'International Orders'!$J$8:$J$107*SUMIF('Product Catalog'!$B$7:$B$22,'International Orders'!$G$8:$G$107,'Product Catalog'!$J$7:$J$22))/B7,0)</f>
        <v>0.590011458188669</v>
      </c>
      <c r="N7" s="11">
        <f>SUMIFS('International Orders'!$O$8:$O$107,'International Orders'!$P$8:$P$107,'International Orders'!$N$5)+SUMIFS('International Orders'!$O$8:$O$107,'International Orders'!$P$8:$P$107,'International Orders'!$O$5)</f>
        <v>187342.08</v>
      </c>
    </row>
    <row r="8" ht="20" customHeight="1">
      <c r="B8" s="14">
        <f>IFERROR(B7/SUM(E30:E38)-1,0)</f>
        <v>0.0118559058295964</v>
      </c>
      <c r="C8" s="15" t="inlineStr">
        <is>
          <t>vs. YTD target</t>
        </is>
      </c>
      <c r="E8" s="16">
        <f>COUNTIF('International Orders'!$P$8:$P$107,'International Orders'!$P$5)</f>
        <v>3</v>
      </c>
      <c r="F8" s="15" t="inlineStr">
        <is>
          <t>cancelled</t>
        </is>
      </c>
      <c r="H8" s="17">
        <f>IFERROR(1-B7/SUMPRODUCT(('International Orders'!$P$8:$P$107&lt;&gt;'International Orders'!$P$5)*'International Orders'!$O$8:$O$107/(1-'International Orders'!$M$8:$M$107)),0)</f>
        <v>0.0942646023446601</v>
      </c>
      <c r="I8" s="15" t="inlineStr">
        <is>
          <t>avg. discount</t>
        </is>
      </c>
      <c r="K8" s="18">
        <f>B7*K7</f>
        <v>1331324.67</v>
      </c>
      <c r="L8" s="15" t="inlineStr">
        <is>
          <t>gross profit</t>
        </is>
      </c>
      <c r="N8" s="19">
        <f>'Inventory &amp; Replenishment'!G29</f>
        <v>1496</v>
      </c>
      <c r="O8" s="15" t="inlineStr">
        <is>
          <t>units reserved</t>
        </is>
      </c>
    </row>
    <row r="9" ht="6" customHeight="1">
      <c r="B9" s="20" t="n"/>
      <c r="C9" s="20" t="n"/>
      <c r="E9" s="20" t="n"/>
      <c r="F9" s="20" t="n"/>
      <c r="H9" s="20" t="n"/>
      <c r="I9" s="20" t="n"/>
      <c r="K9" s="20" t="n"/>
      <c r="L9" s="20" t="n"/>
      <c r="N9" s="20" t="n"/>
      <c r="O9" s="20" t="n"/>
    </row>
    <row r="10" ht="14" customHeight="1"/>
    <row r="11" ht="18" customHeight="1"/>
    <row r="12" ht="18" customHeight="1"/>
    <row r="13" ht="18" customHeight="1"/>
    <row r="14" ht="18" customHeight="1"/>
    <row r="15" ht="18" customHeight="1"/>
    <row r="16" ht="18" customHeight="1"/>
    <row r="17" ht="18" customHeight="1"/>
    <row r="18" ht="18" customHeight="1"/>
    <row r="19" ht="18" customHeight="1"/>
    <row r="20" ht="18" customHeight="1"/>
    <row r="21" ht="18" customHeight="1"/>
    <row r="22" ht="18" customHeight="1"/>
    <row r="23" ht="18" customHeight="1"/>
    <row r="24" ht="18" customHeight="1"/>
    <row r="25" ht="18" customHeight="1"/>
    <row r="26" ht="18" customHeight="1"/>
    <row r="27" ht="14" customHeight="1"/>
    <row r="28" ht="24" customHeight="1">
      <c r="B28" s="21" t="inlineStr">
        <is>
          <t>Monthly performance</t>
        </is>
      </c>
      <c r="C28" s="22" t="n"/>
      <c r="D28" s="22" t="n"/>
      <c r="E28" s="22" t="n"/>
      <c r="F28" s="22" t="n"/>
      <c r="G28" s="22" t="n"/>
      <c r="H28" s="22" t="n"/>
      <c r="I28" s="22" t="n"/>
      <c r="K28" s="21" t="inlineStr">
        <is>
          <t>Net revenue by category</t>
        </is>
      </c>
      <c r="L28" s="22" t="n"/>
      <c r="M28" s="22" t="n"/>
      <c r="N28" s="22" t="n"/>
      <c r="O28" s="22" t="n"/>
    </row>
    <row r="29" ht="30" customHeight="1">
      <c r="B29" s="23" t="inlineStr">
        <is>
          <t>Month</t>
        </is>
      </c>
      <c r="C29" s="24" t="inlineStr">
        <is>
          <t>Net revenue (USD)</t>
        </is>
      </c>
      <c r="E29" s="24" t="inlineStr">
        <is>
          <t>Target (USD)</t>
        </is>
      </c>
      <c r="F29" s="24" t="inlineStr">
        <is>
          <t>Variance to target</t>
        </is>
      </c>
      <c r="H29" s="24" t="inlineStr">
        <is>
          <t>Orders</t>
        </is>
      </c>
      <c r="I29" s="24" t="inlineStr">
        <is>
          <t>Units</t>
        </is>
      </c>
      <c r="K29" s="23" t="inlineStr">
        <is>
          <t>Category</t>
        </is>
      </c>
      <c r="N29" s="24" t="inlineStr">
        <is>
          <t>Net revenue (USD)</t>
        </is>
      </c>
      <c r="O29" s="24" t="inlineStr">
        <is>
          <t>Share</t>
        </is>
      </c>
    </row>
    <row r="30" ht="19" customHeight="1">
      <c r="B30" s="25" t="n">
        <v>46023</v>
      </c>
      <c r="C30" s="26">
        <f>SUMIFS('International Orders'!$O$8:$O$107,'International Orders'!$C$8:$C$107,"&gt;="&amp;$B30,'International Orders'!$C$8:$C$107,"&lt;="&amp;EOMONTH($B30,0),'International Orders'!$P$8:$P$107,"&lt;&gt;"&amp;'International Orders'!$P$5)</f>
        <v>227340.64</v>
      </c>
      <c r="E30" s="27" t="n">
        <v>220000</v>
      </c>
      <c r="F30" s="28">
        <f>IFERROR(C30/E30-1,0)</f>
        <v>0.0333665454545453</v>
      </c>
      <c r="H30" s="29">
        <f>COUNTIFS('International Orders'!$C$8:$C$107,"&gt;="&amp;$B30,'International Orders'!$C$8:$C$107,"&lt;="&amp;EOMONTH($B30,0),'International Orders'!$P$8:$P$107,"&lt;&gt;"&amp;'International Orders'!$P$5)</f>
        <v>8</v>
      </c>
      <c r="I30" s="29">
        <f>SUMIFS('International Orders'!$J$8:$J$107,'International Orders'!$C$8:$C$107,"&gt;="&amp;$B30,'International Orders'!$C$8:$C$107,"&lt;="&amp;EOMONTH($B30,0),'International Orders'!$P$8:$P$107,"&lt;&gt;"&amp;'International Orders'!$P$5)</f>
        <v>3964</v>
      </c>
      <c r="K30" s="30" t="str">
        <f>'Product Catalog'!$D$7</f>
        <v>Lighting</v>
      </c>
      <c r="L30" s="31" t="n"/>
      <c r="N30" s="26">
        <f>SUMIFS('International Orders'!$O$8:$O$107,'International Orders'!$I$8:$I$107,K30,'International Orders'!$P$8:$P$107,"&lt;&gt;"&amp;'International Orders'!$P$5)</f>
        <v>290598.67</v>
      </c>
      <c r="O30" s="32">
        <f>IFERROR(N30/$N$35,0)</f>
        <v>0.128786425203394</v>
      </c>
    </row>
    <row r="31" ht="19" customHeight="1">
      <c r="B31" s="25" t="n">
        <v>46054</v>
      </c>
      <c r="C31" s="26">
        <f>SUMIFS('International Orders'!$O$8:$O$107,'International Orders'!$C$8:$C$107,"&gt;="&amp;$B31,'International Orders'!$C$8:$C$107,"&lt;="&amp;EOMONTH($B31,0),'International Orders'!$P$8:$P$107,"&lt;&gt;"&amp;'International Orders'!$P$5)</f>
        <v>245868.29</v>
      </c>
      <c r="E31" s="27" t="n">
        <v>250000</v>
      </c>
      <c r="F31" s="28">
        <f>IFERROR(C31/E31-1,0)</f>
        <v>-0.0165268399999999</v>
      </c>
      <c r="H31" s="29">
        <f>COUNTIFS('International Orders'!$C$8:$C$107,"&gt;="&amp;$B31,'International Orders'!$C$8:$C$107,"&lt;="&amp;EOMONTH($B31,0),'International Orders'!$P$8:$P$107,"&lt;&gt;"&amp;'International Orders'!$P$5)</f>
        <v>8</v>
      </c>
      <c r="I31" s="29">
        <f>SUMIFS('International Orders'!$J$8:$J$107,'International Orders'!$C$8:$C$107,"&gt;="&amp;$B31,'International Orders'!$C$8:$C$107,"&lt;="&amp;EOMONTH($B31,0),'International Orders'!$P$8:$P$107,"&lt;&gt;"&amp;'International Orders'!$P$5)</f>
        <v>1594</v>
      </c>
      <c r="K31" s="30" t="str">
        <f>'Product Catalog'!$D$10</f>
        <v>Textiles</v>
      </c>
      <c r="L31" s="31" t="n"/>
      <c r="N31" s="26">
        <f>SUMIFS('International Orders'!$O$8:$O$107,'International Orders'!$I$8:$I$107,K31,'International Orders'!$P$8:$P$107,"&lt;&gt;"&amp;'International Orders'!$P$5)</f>
        <v>569197.76</v>
      </c>
      <c r="O31" s="32">
        <f>IFERROR(N31/$N$35,0)</f>
        <v>0.252254921690382</v>
      </c>
    </row>
    <row r="32" ht="19" customHeight="1">
      <c r="B32" s="25" t="n">
        <v>46082</v>
      </c>
      <c r="C32" s="26">
        <f>SUMIFS('International Orders'!$O$8:$O$107,'International Orders'!$C$8:$C$107,"&gt;="&amp;$B32,'International Orders'!$C$8:$C$107,"&lt;="&amp;EOMONTH($B32,0),'International Orders'!$P$8:$P$107,"&lt;&gt;"&amp;'International Orders'!$P$5)</f>
        <v>202352.71</v>
      </c>
      <c r="E32" s="27" t="n">
        <v>210000</v>
      </c>
      <c r="F32" s="28">
        <f>IFERROR(C32/E32-1,0)</f>
        <v>-0.0364156666666667</v>
      </c>
      <c r="H32" s="29">
        <f>COUNTIFS('International Orders'!$C$8:$C$107,"&gt;="&amp;$B32,'International Orders'!$C$8:$C$107,"&lt;="&amp;EOMONTH($B32,0),'International Orders'!$P$8:$P$107,"&lt;&gt;"&amp;'International Orders'!$P$5)</f>
        <v>10</v>
      </c>
      <c r="I32" s="29">
        <f>SUMIFS('International Orders'!$J$8:$J$107,'International Orders'!$C$8:$C$107,"&gt;="&amp;$B32,'International Orders'!$C$8:$C$107,"&lt;="&amp;EOMONTH($B32,0),'International Orders'!$P$8:$P$107,"&lt;&gt;"&amp;'International Orders'!$P$5)</f>
        <v>2546</v>
      </c>
      <c r="K32" s="30" t="str">
        <f>'Product Catalog'!$D$14</f>
        <v>Furniture</v>
      </c>
      <c r="L32" s="31" t="n"/>
      <c r="N32" s="26">
        <f>SUMIFS('International Orders'!$O$8:$O$107,'International Orders'!$I$8:$I$107,K32,'International Orders'!$P$8:$P$107,"&lt;&gt;"&amp;'International Orders'!$P$5)</f>
        <v>538680.75</v>
      </c>
      <c r="O32" s="32">
        <f>IFERROR(N32/$N$35,0)</f>
        <v>0.238730508017752</v>
      </c>
    </row>
    <row r="33" ht="19" customHeight="1">
      <c r="B33" s="25" t="n">
        <v>46113</v>
      </c>
      <c r="C33" s="26">
        <f>SUMIFS('International Orders'!$O$8:$O$107,'International Orders'!$C$8:$C$107,"&gt;="&amp;$B33,'International Orders'!$C$8:$C$107,"&lt;="&amp;EOMONTH($B33,0),'International Orders'!$P$8:$P$107,"&lt;&gt;"&amp;'International Orders'!$P$5)</f>
        <v>213488.04</v>
      </c>
      <c r="E33" s="27" t="n">
        <v>210000</v>
      </c>
      <c r="F33" s="28">
        <f>IFERROR(C33/E33-1,0)</f>
        <v>0.0166097142857142</v>
      </c>
      <c r="H33" s="29">
        <f>COUNTIFS('International Orders'!$C$8:$C$107,"&gt;="&amp;$B33,'International Orders'!$C$8:$C$107,"&lt;="&amp;EOMONTH($B33,0),'International Orders'!$P$8:$P$107,"&lt;&gt;"&amp;'International Orders'!$P$5)</f>
        <v>10</v>
      </c>
      <c r="I33" s="29">
        <f>SUMIFS('International Orders'!$J$8:$J$107,'International Orders'!$C$8:$C$107,"&gt;="&amp;$B33,'International Orders'!$C$8:$C$107,"&lt;="&amp;EOMONTH($B33,0),'International Orders'!$P$8:$P$107,"&lt;&gt;"&amp;'International Orders'!$P$5)</f>
        <v>1172</v>
      </c>
      <c r="K33" s="30" t="str">
        <f>'Product Catalog'!$D$18</f>
        <v>Kitchen &amp; Dining</v>
      </c>
      <c r="L33" s="31" t="n"/>
      <c r="N33" s="26">
        <f>SUMIFS('International Orders'!$O$8:$O$107,'International Orders'!$I$8:$I$107,K33,'International Orders'!$P$8:$P$107,"&lt;&gt;"&amp;'International Orders'!$P$5)</f>
        <v>460752.45</v>
      </c>
      <c r="O33" s="32">
        <f>IFERROR(N33/$N$35,0)</f>
        <v>0.204194537226221</v>
      </c>
    </row>
    <row r="34" ht="19" customHeight="1">
      <c r="B34" s="25" t="n">
        <v>46143</v>
      </c>
      <c r="C34" s="26">
        <f>SUMIFS('International Orders'!$O$8:$O$107,'International Orders'!$C$8:$C$107,"&gt;="&amp;$B34,'International Orders'!$C$8:$C$107,"&lt;="&amp;EOMONTH($B34,0),'International Orders'!$P$8:$P$107,"&lt;&gt;"&amp;'International Orders'!$P$5)</f>
        <v>257526.76</v>
      </c>
      <c r="E34" s="27" t="n">
        <v>245000</v>
      </c>
      <c r="F34" s="28">
        <f>IFERROR(C34/E34-1,0)</f>
        <v>0.0511296326530613</v>
      </c>
      <c r="H34" s="29">
        <f>COUNTIFS('International Orders'!$C$8:$C$107,"&gt;="&amp;$B34,'International Orders'!$C$8:$C$107,"&lt;="&amp;EOMONTH($B34,0),'International Orders'!$P$8:$P$107,"&lt;&gt;"&amp;'International Orders'!$P$5)</f>
        <v>10</v>
      </c>
      <c r="I34" s="29">
        <f>SUMIFS('International Orders'!$J$8:$J$107,'International Orders'!$C$8:$C$107,"&gt;="&amp;$B34,'International Orders'!$C$8:$C$107,"&lt;="&amp;EOMONTH($B34,0),'International Orders'!$P$8:$P$107,"&lt;&gt;"&amp;'International Orders'!$P$5)</f>
        <v>3032</v>
      </c>
      <c r="K34" s="30" t="str">
        <f>'Product Catalog'!$D$21</f>
        <v>Decor &amp; Rugs</v>
      </c>
      <c r="L34" s="31" t="n"/>
      <c r="N34" s="26">
        <f>SUMIFS('International Orders'!$O$8:$O$107,'International Orders'!$I$8:$I$107,K34,'International Orders'!$P$8:$P$107,"&lt;&gt;"&amp;'International Orders'!$P$5)</f>
        <v>397209.04</v>
      </c>
      <c r="O34" s="32">
        <f>IFERROR(N34/$N$35,0)</f>
        <v>0.176033607862251</v>
      </c>
    </row>
    <row r="35" ht="19" customHeight="1">
      <c r="B35" s="25" t="n">
        <v>46174</v>
      </c>
      <c r="C35" s="26">
        <f>SUMIFS('International Orders'!$O$8:$O$107,'International Orders'!$C$8:$C$107,"&gt;="&amp;$B35,'International Orders'!$C$8:$C$107,"&lt;="&amp;EOMONTH($B35,0),'International Orders'!$P$8:$P$107,"&lt;&gt;"&amp;'International Orders'!$P$5)</f>
        <v>251986.98</v>
      </c>
      <c r="E35" s="27" t="n">
        <v>255000</v>
      </c>
      <c r="F35" s="28">
        <f>IFERROR(C35/E35-1,0)</f>
        <v>-0.0118157647058823</v>
      </c>
      <c r="H35" s="29">
        <f>COUNTIFS('International Orders'!$C$8:$C$107,"&gt;="&amp;$B35,'International Orders'!$C$8:$C$107,"&lt;="&amp;EOMONTH($B35,0),'International Orders'!$P$8:$P$107,"&lt;&gt;"&amp;'International Orders'!$P$5)</f>
        <v>10</v>
      </c>
      <c r="I35" s="29">
        <f>SUMIFS('International Orders'!$J$8:$J$107,'International Orders'!$C$8:$C$107,"&gt;="&amp;$B35,'International Orders'!$C$8:$C$107,"&lt;="&amp;EOMONTH($B35,0),'International Orders'!$P$8:$P$107,"&lt;&gt;"&amp;'International Orders'!$P$5)</f>
        <v>1720</v>
      </c>
      <c r="K35" s="33" t="inlineStr">
        <is>
          <t>Total</t>
        </is>
      </c>
      <c r="L35" s="34" t="n"/>
      <c r="N35" s="35">
        <f>SUM(N30:N34)</f>
        <v>2256438.67</v>
      </c>
      <c r="O35" s="36">
        <f>SUM(O30:O34)</f>
        <v>1</v>
      </c>
    </row>
    <row r="36" ht="19" customHeight="1">
      <c r="B36" s="25" t="n">
        <v>46204</v>
      </c>
      <c r="C36" s="26">
        <f>SUMIFS('International Orders'!$O$8:$O$107,'International Orders'!$C$8:$C$107,"&gt;="&amp;$B36,'International Orders'!$C$8:$C$107,"&lt;="&amp;EOMONTH($B36,0),'International Orders'!$P$8:$P$107,"&lt;&gt;"&amp;'International Orders'!$P$5)</f>
        <v>275649.48</v>
      </c>
      <c r="E36" s="27" t="n">
        <v>265000</v>
      </c>
      <c r="F36" s="28">
        <f>IFERROR(C36/E36-1,0)</f>
        <v>0.0401867169811321</v>
      </c>
      <c r="H36" s="29">
        <f>COUNTIFS('International Orders'!$C$8:$C$107,"&gt;="&amp;$B36,'International Orders'!$C$8:$C$107,"&lt;="&amp;EOMONTH($B36,0),'International Orders'!$P$8:$P$107,"&lt;&gt;"&amp;'International Orders'!$P$5)</f>
        <v>11</v>
      </c>
      <c r="I36" s="29">
        <f>SUMIFS('International Orders'!$J$8:$J$107,'International Orders'!$C$8:$C$107,"&gt;="&amp;$B36,'International Orders'!$C$8:$C$107,"&lt;="&amp;EOMONTH($B36,0),'International Orders'!$P$8:$P$107,"&lt;&gt;"&amp;'International Orders'!$P$5)</f>
        <v>1686</v>
      </c>
    </row>
    <row r="37" ht="19" customHeight="1">
      <c r="B37" s="25" t="n">
        <v>46235</v>
      </c>
      <c r="C37" s="26">
        <f>SUMIFS('International Orders'!$O$8:$O$107,'International Orders'!$C$8:$C$107,"&gt;="&amp;$B37,'International Orders'!$C$8:$C$107,"&lt;="&amp;EOMONTH($B37,0),'International Orders'!$P$8:$P$107,"&lt;&gt;"&amp;'International Orders'!$P$5)</f>
        <v>316746.08</v>
      </c>
      <c r="E37" s="27" t="n">
        <v>295000</v>
      </c>
      <c r="F37" s="28">
        <f>IFERROR(C37/E37-1,0)</f>
        <v>0.0737155254237287</v>
      </c>
      <c r="H37" s="29">
        <f>COUNTIFS('International Orders'!$C$8:$C$107,"&gt;="&amp;$B37,'International Orders'!$C$8:$C$107,"&lt;="&amp;EOMONTH($B37,0),'International Orders'!$P$8:$P$107,"&lt;&gt;"&amp;'International Orders'!$P$5)</f>
        <v>14</v>
      </c>
      <c r="I37" s="29">
        <f>SUMIFS('International Orders'!$J$8:$J$107,'International Orders'!$C$8:$C$107,"&gt;="&amp;$B37,'International Orders'!$C$8:$C$107,"&lt;="&amp;EOMONTH($B37,0),'International Orders'!$P$8:$P$107,"&lt;&gt;"&amp;'International Orders'!$P$5)</f>
        <v>2120</v>
      </c>
      <c r="K37" s="37" t="inlineStr">
        <is>
          <t>LARGEST MARKET</t>
        </is>
      </c>
    </row>
    <row r="38" ht="19" customHeight="1">
      <c r="B38" s="25" t="n">
        <v>46266</v>
      </c>
      <c r="C38" s="26">
        <f>SUMIFS('International Orders'!$O$8:$O$107,'International Orders'!$C$8:$C$107,"&gt;="&amp;$B38,'International Orders'!$C$8:$C$107,"&lt;="&amp;EOMONTH($B38,0),'International Orders'!$P$8:$P$107,"&lt;&gt;"&amp;'International Orders'!$P$5)</f>
        <v>265479.69</v>
      </c>
      <c r="E38" s="27" t="n">
        <v>280000</v>
      </c>
      <c r="F38" s="28">
        <f>IFERROR(C38/E38-1,0)</f>
        <v>-0.05185825</v>
      </c>
      <c r="H38" s="29">
        <f>COUNTIFS('International Orders'!$C$8:$C$107,"&gt;="&amp;$B38,'International Orders'!$C$8:$C$107,"&lt;="&amp;EOMONTH($B38,0),'International Orders'!$P$8:$P$107,"&lt;&gt;"&amp;'International Orders'!$P$5)</f>
        <v>16</v>
      </c>
      <c r="I38" s="29">
        <f>SUMIFS('International Orders'!$J$8:$J$107,'International Orders'!$C$8:$C$107,"&gt;="&amp;$B38,'International Orders'!$C$8:$C$107,"&lt;="&amp;EOMONTH($B38,0),'International Orders'!$P$8:$P$107,"&lt;&gt;"&amp;'International Orders'!$P$5)</f>
        <v>2904</v>
      </c>
      <c r="K38" s="38" t="str">
        <f>INDEX('Regional Markets'!$B$8:$B$15,MATCH(MAX('Regional Markets'!$I$8:$I$15),'Regional Markets'!$I$8:$I$15,0))</f>
        <v>United States</v>
      </c>
      <c r="N38" s="39">
        <f>MAX('Regional Markets'!$I$8:$I$15)</f>
        <v>482249.02</v>
      </c>
    </row>
    <row r="39" ht="21" customHeight="1">
      <c r="B39" s="33" t="inlineStr">
        <is>
          <t>Year to date</t>
        </is>
      </c>
      <c r="C39" s="35">
        <f>SUM(C30:C38)</f>
        <v>2256438.67</v>
      </c>
      <c r="E39" s="35">
        <f>SUM(E30:E38)</f>
        <v>2230000</v>
      </c>
      <c r="F39" s="40">
        <f>IFERROR(C39/E39-1,0)</f>
        <v>0.0118559058295964</v>
      </c>
      <c r="H39" s="41">
        <f>SUM(H30:H38)</f>
        <v>97</v>
      </c>
      <c r="I39" s="41">
        <f>SUM(I30:I38)</f>
        <v>20738</v>
      </c>
      <c r="K39" s="42" t="inlineStr">
        <is>
          <t>Fastest growth vs. FY2025</t>
        </is>
      </c>
      <c r="N39" s="43" t="str">
        <f>INDEX('Regional Markets'!$B$8:$B$15,MATCH(MAX('Regional Markets'!$L$8:$L$15),'Regional Markets'!$L$8:$L$15,0))</f>
        <v>Japan</v>
      </c>
    </row>
    <row r="42" ht="26" customHeight="1">
      <c r="B42" s="21" t="inlineStr">
        <is>
          <t>Commercial highlights</t>
        </is>
      </c>
      <c r="C42" s="22" t="n"/>
      <c r="D42" s="22" t="n"/>
      <c r="E42" s="22" t="n"/>
      <c r="F42" s="22" t="n"/>
      <c r="G42" s="22" t="n"/>
      <c r="H42" s="22" t="n"/>
      <c r="I42" s="22" t="n"/>
      <c r="K42" s="21" t="inlineStr">
        <is>
          <t>Operations snapshot</t>
        </is>
      </c>
      <c r="L42" s="22" t="n"/>
      <c r="M42" s="22" t="n"/>
      <c r="N42" s="22" t="n"/>
      <c r="O42" s="22" t="n"/>
    </row>
    <row r="43" ht="21.48" customHeight="1">
      <c r="B43" s="44" t="inlineStr">
        <is>
          <t>• Net revenue for January–September reached $2.26 million, 1.2% above the year-to-date target. August was the strongest month, supported by contract orders for boutique hotel projects.
• United States remains the largest market. Japan grew 31% year on year as select lifestyle shops reordered more often; average order values there are still below the group average.
• Textiles generated the largest share of revenue. Contract and hospitality customers received the deepest discounts (12–20%) in return for volume commitments.
• The United Kingdom was 4% below last year after two department-store promotions were postponed to Q4. 3 orders were cancelled and are excluded from all totals.</t>
        </is>
      </c>
      <c r="K43" s="45" t="inlineStr">
        <is>
          <t>SKUs at or below the reorder point</t>
        </is>
      </c>
      <c r="L43" s="31" t="n"/>
      <c r="M43" s="31" t="n"/>
      <c r="N43" s="46">
        <f>COUNTIF('Inventory &amp; Replenishment'!S13:S28,'Inventory &amp; Replenishment'!$R$11)+COUNTIF('Inventory &amp; Replenishment'!S13:S28,'Inventory &amp; Replenishment'!$S$11)</f>
        <v>4</v>
      </c>
      <c r="O43" s="31" t="n"/>
    </row>
    <row r="44" ht="21.48" customHeight="1">
      <c r="K44" s="45" t="inlineStr">
        <is>
          <t>Suggested replenishment value</t>
        </is>
      </c>
      <c r="L44" s="31" t="n"/>
      <c r="M44" s="31" t="n"/>
      <c r="N44" s="47">
        <f>'Inventory &amp; Replenishment'!R29</f>
        <v>66460</v>
      </c>
      <c r="O44" s="31" t="n"/>
    </row>
    <row r="45" ht="21.48" customHeight="1">
      <c r="K45" s="45" t="inlineStr">
        <is>
          <t>Orders currently on hold</t>
        </is>
      </c>
      <c r="L45" s="31" t="n"/>
      <c r="M45" s="31" t="n"/>
      <c r="N45" s="46">
        <f>COUNTIF('International Orders'!$P$8:$P$107,'International Orders'!$O$5)</f>
        <v>3</v>
      </c>
      <c r="O45" s="31" t="n"/>
    </row>
    <row r="46" ht="21.48" customHeight="1">
      <c r="K46" s="45" t="inlineStr">
        <is>
          <t>Project Tidewater progress</t>
        </is>
      </c>
      <c r="L46" s="31" t="n"/>
      <c r="M46" s="31" t="n"/>
      <c r="N46" s="48">
        <f>'Launch Plan'!X7</f>
        <v>0.198757763975155</v>
      </c>
      <c r="O46" s="31" t="n"/>
    </row>
    <row r="47" ht="21.48" customHeight="1"/>
    <row r="48" ht="21.48" customHeight="1">
      <c r="K48" s="37" t="inlineStr">
        <is>
          <t>Q4 PRIORITIES</t>
        </is>
      </c>
    </row>
    <row r="49" ht="21.48" customHeight="1">
      <c r="K49" s="49" t="inlineStr">
        <is>
          <t>1. Release replenishment orders for flagged SKUs before the November freight cut-off.
2. Clear held orders by resolving customs paperwork and credit checks.
3. Keep lighting certification for Project Tidewater on schedule; Japanese PSE approval is on the critical path.</t>
        </is>
      </c>
    </row>
    <row r="50" ht="21.48" customHeight="1"/>
    <row r="51" ht="21.48" customHeight="1"/>
    <row r="52" ht="21.48" customHeight="1"/>
    <row r="53" ht="21.48" customHeight="1"/>
    <row r="55" ht="26" customHeight="1">
      <c r="B55" s="50" t="inlineStr">
        <is>
          <t>Linden &amp; Loom is a fictitious company. All names, figures and exchange rates in this workbook are illustrative planning data. Revenue excludes cancelled orders and is converted at the FY2026 planning rates shown on the Regional Markets sheet.</t>
        </is>
      </c>
    </row>
    <row r="56" ht="18" customHeight="1">
      <c r="B56" s="51" t="inlineStr">
        <is>
          <t>Control check: difference between revenue totals on this sheet, Regional Markets and category totals (should be zero)</t>
        </is>
      </c>
      <c r="O56" s="52">
        <f>ROUND(ABS(B7-C39)+ABS(B7-'Regional Markets'!I16)+ABS(B7-N35),2)</f>
        <v>0</v>
      </c>
    </row>
  </sheetData>
  <mergeCells count="41">
    <mergeCell ref="K30:L30"/>
    <mergeCell ref="K34:L34"/>
    <mergeCell ref="B7:C7"/>
    <mergeCell ref="N7:O7"/>
    <mergeCell ref="K44:M44"/>
    <mergeCell ref="K46:M46"/>
    <mergeCell ref="K33:L33"/>
    <mergeCell ref="K43:M43"/>
    <mergeCell ref="K49:O53"/>
    <mergeCell ref="K29:L29"/>
    <mergeCell ref="K35:L35"/>
    <mergeCell ref="N45:O45"/>
    <mergeCell ref="H6:I6"/>
    <mergeCell ref="N43:O43"/>
    <mergeCell ref="N46:O46"/>
    <mergeCell ref="K32:L32"/>
    <mergeCell ref="B42:I42"/>
    <mergeCell ref="K39:M39"/>
    <mergeCell ref="K31:L31"/>
    <mergeCell ref="N39:O39"/>
    <mergeCell ref="K38:M38"/>
    <mergeCell ref="E6:F6"/>
    <mergeCell ref="N44:O44"/>
    <mergeCell ref="H7:I7"/>
    <mergeCell ref="N38:O38"/>
    <mergeCell ref="B43:I53"/>
    <mergeCell ref="K2:O2"/>
    <mergeCell ref="B28:I28"/>
    <mergeCell ref="K42:O42"/>
    <mergeCell ref="B4:J4"/>
    <mergeCell ref="K48:O48"/>
    <mergeCell ref="B6:C6"/>
    <mergeCell ref="K7:L7"/>
    <mergeCell ref="E7:F7"/>
    <mergeCell ref="B55:O55"/>
    <mergeCell ref="N6:O6"/>
    <mergeCell ref="K45:M45"/>
    <mergeCell ref="K28:O28"/>
    <mergeCell ref="K37:O37"/>
    <mergeCell ref="K6:L6"/>
    <mergeCell ref="K4:O4"/>
  </mergeCells>
  <conditionalFormatting sqref="B8">
    <cfRule type="cellIs" priority="1" operator="greaterThanOrEqual" dxfId="0">
      <formula>0</formula>
    </cfRule>
    <cfRule type="cellIs" priority="2" operator="lessThan" dxfId="1">
      <formula>0</formula>
    </cfRule>
  </conditionalFormatting>
  <conditionalFormatting sqref="F30:F39">
    <cfRule type="cellIs" priority="3" operator="greaterThanOrEqual" dxfId="0">
      <formula>0</formula>
    </cfRule>
    <cfRule type="cellIs" priority="4" operator="lessThan" dxfId="1">
      <formula>0</formula>
    </cfRule>
  </conditionalFormatting>
  <conditionalFormatting sqref="O30:O34">
    <cfRule type="dataBar" priority="5">
      <dataBar>
        <cfvo type="num" val="0"/>
        <cfvo type="num" val="0.6"/>
        <color rgb="00C9D3E3"/>
      </dataBar>
    </cfRule>
  </conditionalFormatting>
  <conditionalFormatting sqref="O56">
    <cfRule type="cellIs" priority="6" operator="notEqual" dxfId="2">
      <formula>0</formula>
    </cfRule>
  </conditionalFormatting>
  <pageMargins left="0.4" right="0.4" top="0.5" bottom="0.5" header="0.5" footer="0.5"/>
  <pageSetup orientation="landscape" paperSize="9" fitToHeight="1" fitToWidth="1"/>
  <headerFooter>
    <oddHeader/>
    <oddFooter>&amp;L&amp;8 Linden &amp; Loom · Global Sales &amp; Operations Report FY2026&amp;R&amp;8 &amp;A · 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tabColor rgb="002B4C7E"/>
    <outlinePr summaryBelow="1" summaryRight="1"/>
    <pageSetUpPr fitToPage="1"/>
  </sheetPr>
  <dimension ref="A1:O48"/>
  <sheetViews>
    <sheetView showGridLines="0" workbookViewId="0">
      <selection activeCell="A1" sqref="A1"/>
    </sheetView>
  </sheetViews>
  <sheetFormatPr baseColWidth="8" defaultRowHeight="15"/>
  <cols>
    <col width="2.5" customWidth="1" min="1" max="1"/>
    <col width="18" customWidth="1" min="2" max="2"/>
    <col width="14" customWidth="1" min="3" max="3"/>
    <col width="10" customWidth="1" min="4" max="4"/>
    <col width="12" customWidth="1" min="5" max="5"/>
    <col width="9" customWidth="1" min="6" max="6"/>
    <col width="10" customWidth="1" min="7" max="7"/>
    <col width="16" customWidth="1" min="8" max="8"/>
    <col width="15" customWidth="1" min="9" max="9"/>
    <col width="9" customWidth="1" min="10" max="10"/>
    <col width="15" customWidth="1" min="11" max="11"/>
    <col width="10" customWidth="1" min="12" max="12"/>
    <col width="13" customWidth="1" min="13" max="13"/>
    <col width="12" customWidth="1" min="14" max="14"/>
    <col width="2.5" customWidth="1" min="15" max="15"/>
  </cols>
  <sheetData>
    <row r="1" ht="7" customHeight="1">
      <c r="A1" s="1" t="n"/>
      <c r="B1" s="1" t="n"/>
      <c r="C1" s="1" t="n"/>
      <c r="D1" s="1" t="n"/>
      <c r="E1" s="1" t="n"/>
      <c r="F1" s="1" t="n"/>
      <c r="G1" s="1" t="n"/>
      <c r="H1" s="1" t="n"/>
      <c r="I1" s="1" t="n"/>
      <c r="J1" s="1" t="n"/>
      <c r="K1" s="1" t="n"/>
      <c r="L1" s="1" t="n"/>
      <c r="M1" s="1" t="n"/>
      <c r="N1" s="1" t="n"/>
      <c r="O1" s="1" t="n"/>
    </row>
    <row r="2" ht="22" customHeight="1">
      <c r="B2" s="53" t="inlineStr">
        <is>
          <t>LINDEN &amp; LOOM · GLOBAL SALES &amp; OPERATIONS REPORT FY2026</t>
        </is>
      </c>
    </row>
    <row r="3" ht="32" customHeight="1">
      <c r="B3" s="54" t="inlineStr">
        <is>
          <t>Regional Market Analysis</t>
        </is>
      </c>
    </row>
    <row r="4" ht="30" customHeight="1">
      <c r="B4" s="55" t="inlineStr">
        <is>
          <t>Net revenue by market for January–September 2026, converted at fixed FY2026 planning rates and compared with the same period of FY2025. Market profiles summarise the channel structure, delivery requirements and outlook that regional managers report each quarter.</t>
        </is>
      </c>
    </row>
    <row r="5" ht="10" customHeight="1"/>
    <row r="6" ht="24" customHeight="1">
      <c r="B6" s="21" t="inlineStr">
        <is>
          <t>Market performance and planning FX rates</t>
        </is>
      </c>
      <c r="C6" s="22" t="n"/>
      <c r="D6" s="22" t="n"/>
      <c r="E6" s="22" t="n"/>
      <c r="F6" s="22" t="n"/>
      <c r="G6" s="22" t="n"/>
      <c r="H6" s="22" t="n"/>
      <c r="I6" s="22" t="n"/>
      <c r="J6" s="22" t="n"/>
      <c r="K6" s="22" t="n"/>
      <c r="L6" s="22" t="n"/>
      <c r="M6" s="22" t="n"/>
      <c r="N6" s="22" t="n"/>
    </row>
    <row r="7" ht="46" customHeight="1">
      <c r="B7" s="56" t="inlineStr">
        <is>
          <t>Market</t>
        </is>
      </c>
      <c r="C7" s="56" t="inlineStr">
        <is>
          <t>Region</t>
        </is>
      </c>
      <c r="D7" s="56" t="inlineStr">
        <is>
          <t>Currency</t>
        </is>
      </c>
      <c r="E7" s="56" t="inlineStr">
        <is>
          <t>Planning FX rate (per USD)</t>
        </is>
      </c>
      <c r="F7" s="56" t="inlineStr">
        <is>
          <t>Orders</t>
        </is>
      </c>
      <c r="G7" s="56" t="inlineStr">
        <is>
          <t>Units</t>
        </is>
      </c>
      <c r="H7" s="56" t="inlineStr">
        <is>
          <t>Net revenue (local currency)</t>
        </is>
      </c>
      <c r="I7" s="56" t="inlineStr">
        <is>
          <t>Net revenue (USD)</t>
        </is>
      </c>
      <c r="J7" s="56" t="inlineStr">
        <is>
          <t>Share of total</t>
        </is>
      </c>
      <c r="K7" s="56" t="inlineStr">
        <is>
          <t>FY2025 Jan–Sep revenue (USD)</t>
        </is>
      </c>
      <c r="L7" s="56" t="inlineStr">
        <is>
          <t>YoY growth</t>
        </is>
      </c>
      <c r="M7" s="56" t="inlineStr">
        <is>
          <t>Average order value (USD)</t>
        </is>
      </c>
      <c r="N7" s="56" t="inlineStr">
        <is>
          <t>Average discount</t>
        </is>
      </c>
    </row>
    <row r="8" ht="21" customHeight="1">
      <c r="B8" s="57" t="inlineStr">
        <is>
          <t>United States</t>
        </is>
      </c>
      <c r="C8" s="58" t="inlineStr">
        <is>
          <t>North America</t>
        </is>
      </c>
      <c r="D8" s="59" t="inlineStr">
        <is>
          <t>USD</t>
        </is>
      </c>
      <c r="E8" s="60" t="n">
        <v>1</v>
      </c>
      <c r="F8" s="29">
        <f>COUNTIFS('International Orders'!$E$8:$E$107,$B8,'International Orders'!$P$8:$P$107,"&lt;&gt;"&amp;'International Orders'!$P$5)</f>
        <v>24</v>
      </c>
      <c r="G8" s="29">
        <f>SUMIFS('International Orders'!$J$8:$J$107,'International Orders'!$E$8:$E$107,$B8,'International Orders'!$P$8:$P$107,"&lt;&gt;"&amp;'International Orders'!$P$5)</f>
        <v>4714</v>
      </c>
      <c r="H8" s="61">
        <f>SUMIFS('International Orders'!$N$8:$N$107,'International Orders'!$E$8:$E$107,$B8,'International Orders'!$P$8:$P$107,"&lt;&gt;"&amp;'International Orders'!$P$5)</f>
        <v>482249.02</v>
      </c>
      <c r="I8" s="26">
        <f>SUMIFS('International Orders'!$O$8:$O$107,'International Orders'!$E$8:$E$107,$B8,'International Orders'!$P$8:$P$107,"&lt;&gt;"&amp;'International Orders'!$P$5)</f>
        <v>482249.02</v>
      </c>
      <c r="J8" s="32">
        <f>IFERROR(I8/$I$16,0)</f>
        <v>0.213721306238738</v>
      </c>
      <c r="K8" s="27" t="n">
        <v>431000</v>
      </c>
      <c r="L8" s="28">
        <f>IFERROR(I8/K8-1,0)</f>
        <v>0.118907238979118</v>
      </c>
      <c r="M8" s="26">
        <f>IFERROR(I8/F8,0)</f>
        <v>20093.7091666667</v>
      </c>
      <c r="N8" s="32">
        <f>IFERROR(1-H8/SUMPRODUCT(('International Orders'!$E$8:$E$107=$B8)*('International Orders'!$P$8:$P$107&lt;&gt;'International Orders'!$P$5)*'International Orders'!$N$8:$N$107/(1-'International Orders'!$M$8:$M$107)),0)</f>
        <v>0.0997744624769926</v>
      </c>
    </row>
    <row r="9" ht="21" customHeight="1">
      <c r="B9" s="57" t="inlineStr">
        <is>
          <t>Canada</t>
        </is>
      </c>
      <c r="C9" s="58" t="inlineStr">
        <is>
          <t>North America</t>
        </is>
      </c>
      <c r="D9" s="59" t="inlineStr">
        <is>
          <t>CAD</t>
        </is>
      </c>
      <c r="E9" s="60" t="n">
        <v>1.37</v>
      </c>
      <c r="F9" s="29">
        <f>COUNTIFS('International Orders'!$E$8:$E$107,$B9,'International Orders'!$P$8:$P$107,"&lt;&gt;"&amp;'International Orders'!$P$5)</f>
        <v>10</v>
      </c>
      <c r="G9" s="29">
        <f>SUMIFS('International Orders'!$J$8:$J$107,'International Orders'!$E$8:$E$107,$B9,'International Orders'!$P$8:$P$107,"&lt;&gt;"&amp;'International Orders'!$P$5)</f>
        <v>1300</v>
      </c>
      <c r="H9" s="61">
        <f>SUMIFS('International Orders'!$N$8:$N$107,'International Orders'!$E$8:$E$107,$B9,'International Orders'!$P$8:$P$107,"&lt;&gt;"&amp;'International Orders'!$P$5)</f>
        <v>309290.8986</v>
      </c>
      <c r="I9" s="26">
        <f>SUMIFS('International Orders'!$O$8:$O$107,'International Orders'!$E$8:$E$107,$B9,'International Orders'!$P$8:$P$107,"&lt;&gt;"&amp;'International Orders'!$P$5)</f>
        <v>225759.78</v>
      </c>
      <c r="J9" s="32">
        <f>IFERROR(I9/$I$16,0)</f>
        <v>0.100051369887221</v>
      </c>
      <c r="K9" s="27" t="n">
        <v>213000</v>
      </c>
      <c r="L9" s="28">
        <f>IFERROR(I9/K9-1,0)</f>
        <v>0.059905070422535</v>
      </c>
      <c r="M9" s="26">
        <f>IFERROR(I9/F9,0)</f>
        <v>22575.978</v>
      </c>
      <c r="N9" s="32">
        <f>IFERROR(1-H9/SUMPRODUCT(('International Orders'!$E$8:$E$107=$B9)*('International Orders'!$P$8:$P$107&lt;&gt;'International Orders'!$P$5)*'International Orders'!$N$8:$N$107/(1-'International Orders'!$M$8:$M$107)),0)</f>
        <v>0.0885463398091179</v>
      </c>
    </row>
    <row r="10" ht="21" customHeight="1">
      <c r="B10" s="57" t="inlineStr">
        <is>
          <t>United Kingdom</t>
        </is>
      </c>
      <c r="C10" s="58" t="inlineStr">
        <is>
          <t>Europe</t>
        </is>
      </c>
      <c r="D10" s="59" t="inlineStr">
        <is>
          <t>GBP</t>
        </is>
      </c>
      <c r="E10" s="60" t="n">
        <v>0.78</v>
      </c>
      <c r="F10" s="29">
        <f>COUNTIFS('International Orders'!$E$8:$E$107,$B10,'International Orders'!$P$8:$P$107,"&lt;&gt;"&amp;'International Orders'!$P$5)</f>
        <v>9</v>
      </c>
      <c r="G10" s="29">
        <f>SUMIFS('International Orders'!$J$8:$J$107,'International Orders'!$E$8:$E$107,$B10,'International Orders'!$P$8:$P$107,"&lt;&gt;"&amp;'International Orders'!$P$5)</f>
        <v>1548</v>
      </c>
      <c r="H10" s="61">
        <f>SUMIFS('International Orders'!$N$8:$N$107,'International Orders'!$E$8:$E$107,$B10,'International Orders'!$P$8:$P$107,"&lt;&gt;"&amp;'International Orders'!$P$5)</f>
        <v>143852.904</v>
      </c>
      <c r="I10" s="26">
        <f>SUMIFS('International Orders'!$O$8:$O$107,'International Orders'!$E$8:$E$107,$B10,'International Orders'!$P$8:$P$107,"&lt;&gt;"&amp;'International Orders'!$P$5)</f>
        <v>184426.8</v>
      </c>
      <c r="J10" s="32">
        <f>IFERROR(I10/$I$16,0)</f>
        <v>0.0817335753246952</v>
      </c>
      <c r="K10" s="27" t="n">
        <v>192000</v>
      </c>
      <c r="L10" s="28">
        <f>IFERROR(I10/K10-1,0)</f>
        <v>-0.0394437500000001</v>
      </c>
      <c r="M10" s="26">
        <f>IFERROR(I10/F10,0)</f>
        <v>20491.8666666667</v>
      </c>
      <c r="N10" s="32">
        <f>IFERROR(1-H10/SUMPRODUCT(('International Orders'!$E$8:$E$107=$B10)*('International Orders'!$P$8:$P$107&lt;&gt;'International Orders'!$P$5)*'International Orders'!$N$8:$N$107/(1-'International Orders'!$M$8:$M$107)),0)</f>
        <v>0.0865981219541187</v>
      </c>
    </row>
    <row r="11" ht="21" customHeight="1">
      <c r="B11" s="57" t="inlineStr">
        <is>
          <t>Germany</t>
        </is>
      </c>
      <c r="C11" s="58" t="inlineStr">
        <is>
          <t>Europe</t>
        </is>
      </c>
      <c r="D11" s="59" t="inlineStr">
        <is>
          <t>EUR</t>
        </is>
      </c>
      <c r="E11" s="60" t="n">
        <v>0.92</v>
      </c>
      <c r="F11" s="29">
        <f>COUNTIFS('International Orders'!$E$8:$E$107,$B11,'International Orders'!$P$8:$P$107,"&lt;&gt;"&amp;'International Orders'!$P$5)</f>
        <v>16</v>
      </c>
      <c r="G11" s="29">
        <f>SUMIFS('International Orders'!$J$8:$J$107,'International Orders'!$E$8:$E$107,$B11,'International Orders'!$P$8:$P$107,"&lt;&gt;"&amp;'International Orders'!$P$5)</f>
        <v>2250</v>
      </c>
      <c r="H11" s="61">
        <f>SUMIFS('International Orders'!$N$8:$N$107,'International Orders'!$E$8:$E$107,$B11,'International Orders'!$P$8:$P$107,"&lt;&gt;"&amp;'International Orders'!$P$5)</f>
        <v>330725.8044</v>
      </c>
      <c r="I11" s="26">
        <f>SUMIFS('International Orders'!$O$8:$O$107,'International Orders'!$E$8:$E$107,$B11,'International Orders'!$P$8:$P$107,"&lt;&gt;"&amp;'International Orders'!$P$5)</f>
        <v>359484.57</v>
      </c>
      <c r="J11" s="32">
        <f>IFERROR(I11/$I$16,0)</f>
        <v>0.159315019184634</v>
      </c>
      <c r="K11" s="27" t="n">
        <v>305000</v>
      </c>
      <c r="L11" s="28">
        <f>IFERROR(I11/K11-1,0)</f>
        <v>0.178637934426229</v>
      </c>
      <c r="M11" s="26">
        <f>IFERROR(I11/F11,0)</f>
        <v>22467.785625</v>
      </c>
      <c r="N11" s="32">
        <f>IFERROR(1-H11/SUMPRODUCT(('International Orders'!$E$8:$E$107=$B11)*('International Orders'!$P$8:$P$107&lt;&gt;'International Orders'!$P$5)*'International Orders'!$N$8:$N$107/(1-'International Orders'!$M$8:$M$107)),0)</f>
        <v>0.0922702802341261</v>
      </c>
    </row>
    <row r="12" ht="21" customHeight="1">
      <c r="B12" s="57" t="inlineStr">
        <is>
          <t>France</t>
        </is>
      </c>
      <c r="C12" s="58" t="inlineStr">
        <is>
          <t>Europe</t>
        </is>
      </c>
      <c r="D12" s="59" t="inlineStr">
        <is>
          <t>EUR</t>
        </is>
      </c>
      <c r="E12" s="60" t="n">
        <v>0.92</v>
      </c>
      <c r="F12" s="29">
        <f>COUNTIFS('International Orders'!$E$8:$E$107,$B12,'International Orders'!$P$8:$P$107,"&lt;&gt;"&amp;'International Orders'!$P$5)</f>
        <v>10</v>
      </c>
      <c r="G12" s="29">
        <f>SUMIFS('International Orders'!$J$8:$J$107,'International Orders'!$E$8:$E$107,$B12,'International Orders'!$P$8:$P$107,"&lt;&gt;"&amp;'International Orders'!$P$5)</f>
        <v>3320</v>
      </c>
      <c r="H12" s="61">
        <f>SUMIFS('International Orders'!$N$8:$N$107,'International Orders'!$E$8:$E$107,$B12,'International Orders'!$P$8:$P$107,"&lt;&gt;"&amp;'International Orders'!$P$5)</f>
        <v>217130.8008</v>
      </c>
      <c r="I12" s="26">
        <f>SUMIFS('International Orders'!$O$8:$O$107,'International Orders'!$E$8:$E$107,$B12,'International Orders'!$P$8:$P$107,"&lt;&gt;"&amp;'International Orders'!$P$5)</f>
        <v>236011.74</v>
      </c>
      <c r="J12" s="32">
        <f>IFERROR(I12/$I$16,0)</f>
        <v>0.104594794947385</v>
      </c>
      <c r="K12" s="27" t="n">
        <v>217000</v>
      </c>
      <c r="L12" s="28">
        <f>IFERROR(I12/K12-1,0)</f>
        <v>0.0876117050691243</v>
      </c>
      <c r="M12" s="26">
        <f>IFERROR(I12/F12,0)</f>
        <v>23601.174</v>
      </c>
      <c r="N12" s="32">
        <f>IFERROR(1-H12/SUMPRODUCT(('International Orders'!$E$8:$E$107=$B12)*('International Orders'!$P$8:$P$107&lt;&gt;'International Orders'!$P$5)*'International Orders'!$N$8:$N$107/(1-'International Orders'!$M$8:$M$107)),0)</f>
        <v>0.102958038768529</v>
      </c>
    </row>
    <row r="13" ht="21" customHeight="1">
      <c r="B13" s="57" t="inlineStr">
        <is>
          <t>Sweden</t>
        </is>
      </c>
      <c r="C13" s="58" t="inlineStr">
        <is>
          <t>Europe</t>
        </is>
      </c>
      <c r="D13" s="59" t="inlineStr">
        <is>
          <t>SEK</t>
        </is>
      </c>
      <c r="E13" s="60" t="n">
        <v>10.6</v>
      </c>
      <c r="F13" s="29">
        <f>COUNTIFS('International Orders'!$E$8:$E$107,$B13,'International Orders'!$P$8:$P$107,"&lt;&gt;"&amp;'International Orders'!$P$5)</f>
        <v>7</v>
      </c>
      <c r="G13" s="29">
        <f>SUMIFS('International Orders'!$J$8:$J$107,'International Orders'!$E$8:$E$107,$B13,'International Orders'!$P$8:$P$107,"&lt;&gt;"&amp;'International Orders'!$P$5)</f>
        <v>2608</v>
      </c>
      <c r="H13" s="61">
        <f>SUMIFS('International Orders'!$N$8:$N$107,'International Orders'!$E$8:$E$107,$B13,'International Orders'!$P$8:$P$107,"&lt;&gt;"&amp;'International Orders'!$P$5)</f>
        <v>2563699.146</v>
      </c>
      <c r="I13" s="26">
        <f>SUMIFS('International Orders'!$O$8:$O$107,'International Orders'!$E$8:$E$107,$B13,'International Orders'!$P$8:$P$107,"&lt;&gt;"&amp;'International Orders'!$P$5)</f>
        <v>241858.41</v>
      </c>
      <c r="J13" s="32">
        <f>IFERROR(I13/$I$16,0)</f>
        <v>0.107185900160096</v>
      </c>
      <c r="K13" s="27" t="n">
        <v>235000</v>
      </c>
      <c r="L13" s="28">
        <f>IFERROR(I13/K13-1,0)</f>
        <v>0.0291847234042553</v>
      </c>
      <c r="M13" s="26">
        <f>IFERROR(I13/F13,0)</f>
        <v>34551.2014285714</v>
      </c>
      <c r="N13" s="32">
        <f>IFERROR(1-H13/SUMPRODUCT(('International Orders'!$E$8:$E$107=$B13)*('International Orders'!$P$8:$P$107&lt;&gt;'International Orders'!$P$5)*'International Orders'!$N$8:$N$107/(1-'International Orders'!$M$8:$M$107)),0)</f>
        <v>0.118038967574427</v>
      </c>
    </row>
    <row r="14" ht="21" customHeight="1">
      <c r="B14" s="57" t="inlineStr">
        <is>
          <t>Japan</t>
        </is>
      </c>
      <c r="C14" s="58" t="inlineStr">
        <is>
          <t>Asia-Pacific</t>
        </is>
      </c>
      <c r="D14" s="59" t="inlineStr">
        <is>
          <t>JPY</t>
        </is>
      </c>
      <c r="E14" s="60" t="n">
        <v>148</v>
      </c>
      <c r="F14" s="29">
        <f>COUNTIFS('International Orders'!$E$8:$E$107,$B14,'International Orders'!$P$8:$P$107,"&lt;&gt;"&amp;'International Orders'!$P$5)</f>
        <v>12</v>
      </c>
      <c r="G14" s="29">
        <f>SUMIFS('International Orders'!$J$8:$J$107,'International Orders'!$E$8:$E$107,$B14,'International Orders'!$P$8:$P$107,"&lt;&gt;"&amp;'International Orders'!$P$5)</f>
        <v>2788</v>
      </c>
      <c r="H14" s="61">
        <f>SUMIFS('International Orders'!$N$8:$N$107,'International Orders'!$E$8:$E$107,$B14,'International Orders'!$P$8:$P$107,"&lt;&gt;"&amp;'International Orders'!$P$5)</f>
        <v>39031131.28</v>
      </c>
      <c r="I14" s="26">
        <f>SUMIFS('International Orders'!$O$8:$O$107,'International Orders'!$E$8:$E$107,$B14,'International Orders'!$P$8:$P$107,"&lt;&gt;"&amp;'International Orders'!$P$5)</f>
        <v>263723.86</v>
      </c>
      <c r="J14" s="32">
        <f>IFERROR(I14/$I$16,0)</f>
        <v>0.116876148023115</v>
      </c>
      <c r="K14" s="27" t="n">
        <v>201000</v>
      </c>
      <c r="L14" s="28">
        <f>IFERROR(I14/K14-1,0)</f>
        <v>0.312059004975124</v>
      </c>
      <c r="M14" s="26">
        <f>IFERROR(I14/F14,0)</f>
        <v>21976.9883333333</v>
      </c>
      <c r="N14" s="32">
        <f>IFERROR(1-H14/SUMPRODUCT(('International Orders'!$E$8:$E$107=$B14)*('International Orders'!$P$8:$P$107&lt;&gt;'International Orders'!$P$5)*'International Orders'!$N$8:$N$107/(1-'International Orders'!$M$8:$M$107)),0)</f>
        <v>0.0617880978469683</v>
      </c>
    </row>
    <row r="15" ht="21" customHeight="1">
      <c r="B15" s="57" t="inlineStr">
        <is>
          <t>Australia</t>
        </is>
      </c>
      <c r="C15" s="58" t="inlineStr">
        <is>
          <t>Asia-Pacific</t>
        </is>
      </c>
      <c r="D15" s="59" t="inlineStr">
        <is>
          <t>AUD</t>
        </is>
      </c>
      <c r="E15" s="60" t="n">
        <v>1.52</v>
      </c>
      <c r="F15" s="29">
        <f>COUNTIFS('International Orders'!$E$8:$E$107,$B15,'International Orders'!$P$8:$P$107,"&lt;&gt;"&amp;'International Orders'!$P$5)</f>
        <v>9</v>
      </c>
      <c r="G15" s="29">
        <f>SUMIFS('International Orders'!$J$8:$J$107,'International Orders'!$E$8:$E$107,$B15,'International Orders'!$P$8:$P$107,"&lt;&gt;"&amp;'International Orders'!$P$5)</f>
        <v>2210</v>
      </c>
      <c r="H15" s="61">
        <f>SUMIFS('International Orders'!$N$8:$N$107,'International Orders'!$E$8:$E$107,$B15,'International Orders'!$P$8:$P$107,"&lt;&gt;"&amp;'International Orders'!$P$5)</f>
        <v>399645.2248</v>
      </c>
      <c r="I15" s="26">
        <f>SUMIFS('International Orders'!$O$8:$O$107,'International Orders'!$E$8:$E$107,$B15,'International Orders'!$P$8:$P$107,"&lt;&gt;"&amp;'International Orders'!$P$5)</f>
        <v>262924.49</v>
      </c>
      <c r="J15" s="32">
        <f>IFERROR(I15/$I$16,0)</f>
        <v>0.116521886234116</v>
      </c>
      <c r="K15" s="27" t="n">
        <v>231000</v>
      </c>
      <c r="L15" s="28">
        <f>IFERROR(I15/K15-1,0)</f>
        <v>0.138201255411255</v>
      </c>
      <c r="M15" s="26">
        <f>IFERROR(I15/F15,0)</f>
        <v>29213.8322222222</v>
      </c>
      <c r="N15" s="32">
        <f>IFERROR(1-H15/SUMPRODUCT(('International Orders'!$E$8:$E$107=$B15)*('International Orders'!$P$8:$P$107&lt;&gt;'International Orders'!$P$5)*'International Orders'!$N$8:$N$107/(1-'International Orders'!$M$8:$M$107)),0)</f>
        <v>0.0981220114567969</v>
      </c>
    </row>
    <row r="16" ht="22" customHeight="1">
      <c r="B16" s="62" t="inlineStr">
        <is>
          <t>Total</t>
        </is>
      </c>
      <c r="C16" s="62" t="n"/>
      <c r="D16" s="62" t="n"/>
      <c r="E16" s="63" t="n"/>
      <c r="F16" s="64">
        <f>SUM(F8:F15)</f>
        <v>97</v>
      </c>
      <c r="G16" s="64">
        <f>SUM(G8:G15)</f>
        <v>20738</v>
      </c>
      <c r="H16" s="65" t="inlineStr">
        <is>
          <t>Mixed currencies</t>
        </is>
      </c>
      <c r="I16" s="66">
        <f>SUM(I8:I15)</f>
        <v>2256438.67</v>
      </c>
      <c r="J16" s="67">
        <f>SUM(J8:J15)</f>
        <v>1</v>
      </c>
      <c r="K16" s="66">
        <f>SUM(K8:K15)</f>
        <v>2025000</v>
      </c>
      <c r="L16" s="68">
        <f>IFERROR(I16/K16-1,0)</f>
        <v>0.114290701234568</v>
      </c>
      <c r="M16" s="66">
        <f>IFERROR(I16/F16,0)</f>
        <v>23262.2543298969</v>
      </c>
      <c r="N16" s="67">
        <f>IFERROR(1-I16/SUMPRODUCT(('International Orders'!$P$8:$P$107&lt;&gt;'International Orders'!$P$5)*'International Orders'!$O$8:$O$107/(1-'International Orders'!$M$8:$M$107)),0)</f>
        <v>0.0942646023446601</v>
      </c>
    </row>
    <row r="17" ht="32" customHeight="1">
      <c r="B17" s="69" t="inlineStr">
        <is>
          <t>Planning FX rates (blue figures) are fixed internal assumptions set for the FY2026 budget and expressed as local currency per 1 USD. They are illustrative only and are not live market rates. Changing a rate updates every converted price and total in the workbook.</t>
        </is>
      </c>
    </row>
    <row r="19" ht="24" customHeight="1">
      <c r="B19" s="21" t="inlineStr">
        <is>
          <t>Revenue by market</t>
        </is>
      </c>
      <c r="C19" s="22" t="n"/>
      <c r="D19" s="22" t="n"/>
      <c r="E19" s="22" t="n"/>
      <c r="F19" s="22" t="n"/>
      <c r="G19" s="22" t="n"/>
      <c r="H19" s="22" t="n"/>
      <c r="J19" s="21" t="inlineStr">
        <is>
          <t>How the figures are calculated</t>
        </is>
      </c>
      <c r="K19" s="22" t="n"/>
      <c r="L19" s="22" t="n"/>
      <c r="M19" s="22" t="n"/>
      <c r="N19" s="22" t="n"/>
    </row>
    <row r="20" ht="18" customHeight="1">
      <c r="J20" s="49" t="inlineStr">
        <is>
          <r>
            <rPr>
              <rFont val="Arial"/>
              <b val="1"/>
              <color rgb="001F2A44"/>
              <sz val="10"/>
            </rPr>
            <t xml:space="preserve">Revenue basis
</t>
          </r>
          <r>
            <rPr>
              <rFont val="Arial"/>
              <color rgb="002E2A26"/>
              <sz val="10"/>
            </rPr>
            <t xml:space="preserve">Net revenue is the order value after trade discounts. Cancelled orders are excluded; orders on hold remain in the totals until they are cancelled.
</t>
          </r>
          <r>
            <rPr>
              <rFont val="Arial"/>
              <b val="1"/>
              <color rgb="001F2A44"/>
              <sz val="10"/>
            </rPr>
            <t xml:space="preserve">Currency conversion
</t>
          </r>
          <r>
            <rPr>
              <rFont val="Arial"/>
              <color rgb="002E2A26"/>
              <sz val="10"/>
            </rPr>
            <t xml:space="preserve">Unit prices are list prices in USD multiplied by the planning rate for each market, rounded to whole yen for Japan and to two decimals elsewhere. Local amounts are converted back to USD at the same rate, so FX movements do not distort the comparison.
</t>
          </r>
          <r>
            <rPr>
              <rFont val="Arial"/>
              <b val="1"/>
              <color rgb="001F2A44"/>
              <sz val="10"/>
            </rPr>
            <t xml:space="preserve">Average discount
</t>
          </r>
          <r>
            <rPr>
              <rFont val="Arial"/>
              <color rgb="002E2A26"/>
              <sz val="10"/>
            </rPr>
            <t xml:space="preserve">Weighted by order value: 1 − net revenue ÷ gross revenue before discount.
</t>
          </r>
          <r>
            <rPr>
              <rFont val="Arial"/>
              <b val="1"/>
              <color rgb="001F2A44"/>
              <sz val="10"/>
            </rPr>
            <t xml:space="preserve">Prior year
</t>
          </r>
          <r>
            <rPr>
              <rFont val="Arial"/>
              <color rgb="002E2A26"/>
              <sz val="10"/>
            </rPr>
            <t>FY2025 figures are restated at FY2026 planning rates for a like-for-like comparison.</t>
          </r>
        </is>
      </c>
    </row>
    <row r="21" ht="18" customHeight="1"/>
    <row r="22" ht="18" customHeight="1"/>
    <row r="23" ht="18" customHeight="1"/>
    <row r="24" ht="18" customHeight="1"/>
    <row r="25" ht="18" customHeight="1"/>
    <row r="26" ht="18" customHeight="1"/>
    <row r="27" ht="18" customHeight="1"/>
    <row r="28" ht="18" customHeight="1"/>
    <row r="29" ht="18" customHeight="1"/>
    <row r="30" ht="18" customHeight="1"/>
    <row r="31" ht="18" customHeight="1"/>
    <row r="32" ht="18" customHeight="1"/>
    <row r="33" ht="18" customHeight="1"/>
    <row r="34" ht="18" customHeight="1"/>
    <row r="35" ht="18" customHeight="1"/>
    <row r="36" ht="18" customHeight="1"/>
    <row r="37" ht="18" customHeight="1"/>
    <row r="39" ht="24" customHeight="1">
      <c r="B39" s="21" t="inlineStr">
        <is>
          <t>Market profiles</t>
        </is>
      </c>
      <c r="C39" s="22" t="n"/>
      <c r="D39" s="22" t="n"/>
      <c r="E39" s="22" t="n"/>
      <c r="F39" s="22" t="n"/>
      <c r="G39" s="22" t="n"/>
      <c r="H39" s="22" t="n"/>
      <c r="I39" s="22" t="n"/>
      <c r="J39" s="22" t="n"/>
      <c r="K39" s="22" t="n"/>
      <c r="L39" s="22" t="n"/>
      <c r="M39" s="22" t="n"/>
      <c r="N39" s="22" t="n"/>
    </row>
    <row r="40" ht="26" customHeight="1">
      <c r="B40" s="23" t="inlineStr">
        <is>
          <t>Market</t>
        </is>
      </c>
      <c r="D40" s="23" t="inlineStr">
        <is>
          <t>Channel structure</t>
        </is>
      </c>
      <c r="H40" s="23" t="inlineStr">
        <is>
          <t>Delivery and compliance requirements</t>
        </is>
      </c>
      <c r="L40" s="23" t="inlineStr">
        <is>
          <t>Outlook and notes</t>
        </is>
      </c>
    </row>
    <row r="41" ht="76" customHeight="1">
      <c r="B41" s="70" t="inlineStr">
        <is>
          <t>United States
North America · USD</t>
        </is>
      </c>
      <c r="C41" s="31" t="n"/>
      <c r="D41" s="71" t="inlineStr">
        <is>
          <t>Independent home stores and two regional chains account for most volume. Online marketplace partners require drop-ship capability and daily inventory feeds.</t>
        </is>
      </c>
      <c r="E41" s="31" t="n"/>
      <c r="F41" s="31" t="n"/>
      <c r="G41" s="31" t="n"/>
      <c r="H41" s="71" t="inlineStr">
        <is>
          <t>Ships from the Newark DC. Retailers require EDI 856 advance ship notices and GS1-128 carton labels. All lamps must carry a UL or ETL listing.</t>
        </is>
      </c>
      <c r="I41" s="31" t="n"/>
      <c r="J41" s="31" t="n"/>
      <c r="K41" s="31" t="n"/>
      <c r="L41" s="71" t="inlineStr">
        <is>
          <t>Strongest furniture market. The contract segment is growing through boutique hotel projects in Chicago and Austin.</t>
        </is>
      </c>
      <c r="M41" s="31" t="n"/>
      <c r="N41" s="31" t="n"/>
    </row>
    <row r="42" ht="62.8" customHeight="1">
      <c r="B42" s="72" t="inlineStr">
        <is>
          <t>Canada
North America · CAD</t>
        </is>
      </c>
      <c r="C42" s="31" t="n"/>
      <c r="D42" s="73" t="inlineStr">
        <is>
          <t>Concentrated among a small number of design-led retailers in Toronto, Montréal and Vancouver.</t>
        </is>
      </c>
      <c r="E42" s="31" t="n"/>
      <c r="F42" s="31" t="n"/>
      <c r="G42" s="31" t="n"/>
      <c r="H42" s="73" t="inlineStr">
        <is>
          <t>Bilingual English/French labelling is mandatory on retail packaging. Orders ship on DDP terms, with duties included in the landed price.</t>
        </is>
      </c>
      <c r="I42" s="31" t="n"/>
      <c r="J42" s="31" t="n"/>
      <c r="K42" s="31" t="n"/>
      <c r="L42" s="73" t="inlineStr">
        <is>
          <t>Winter freight surcharges apply from November to February; plan Q4 replenishment two weeks earlier.</t>
        </is>
      </c>
      <c r="M42" s="31" t="n"/>
      <c r="N42" s="31" t="n"/>
    </row>
    <row r="43" ht="49.6" customHeight="1">
      <c r="B43" s="70" t="inlineStr">
        <is>
          <t>United Kingdom
Europe · GBP</t>
        </is>
      </c>
      <c r="C43" s="31" t="n"/>
      <c r="D43" s="71" t="inlineStr">
        <is>
          <t>Department stores and premium independents. A strong gifting season drives Q4 textile volumes.</t>
        </is>
      </c>
      <c r="E43" s="31" t="n"/>
      <c r="F43" s="31" t="n"/>
      <c r="G43" s="31" t="n"/>
      <c r="H43" s="71" t="inlineStr">
        <is>
          <t>UKCA marking is required on lighting. Import declarations are filed under the UK Global Tariff; allow two additional days for customs clearance.</t>
        </is>
      </c>
      <c r="I43" s="31" t="n"/>
      <c r="J43" s="31" t="n"/>
      <c r="K43" s="31" t="n"/>
      <c r="L43" s="71" t="inlineStr">
        <is>
          <t>Price-sensitive in textiles. Discounts above 12% require approval from the Commercial Director.</t>
        </is>
      </c>
      <c r="M43" s="31" t="n"/>
      <c r="N43" s="31" t="n"/>
    </row>
    <row r="44" ht="62.8" customHeight="1">
      <c r="B44" s="72" t="inlineStr">
        <is>
          <t>Germany
Europe · EUR</t>
        </is>
      </c>
      <c r="C44" s="31" t="n"/>
      <c r="D44" s="73" t="inlineStr">
        <is>
          <t>Largest European market, with a mix of furniture chains, interior concept stores and a growing online channel.</t>
        </is>
      </c>
      <c r="E44" s="31" t="n"/>
      <c r="F44" s="31" t="n"/>
      <c r="G44" s="31" t="n"/>
      <c r="H44" s="73" t="inlineStr">
        <is>
          <t>Ships from Rotterdam. Packaging must be registered with LUCID under the German Packaging Act (VerpackG). Delivery appointments are standard for furniture chains.</t>
        </is>
      </c>
      <c r="I44" s="31" t="n"/>
      <c r="J44" s="31" t="n"/>
      <c r="K44" s="31" t="n"/>
      <c r="L44" s="73" t="inlineStr">
        <is>
          <t>Customers expect complete product data in German, including material composition and care instructions.</t>
        </is>
      </c>
      <c r="M44" s="31" t="n"/>
      <c r="N44" s="31" t="n"/>
    </row>
    <row r="45" ht="49.6" customHeight="1">
      <c r="B45" s="70" t="inlineStr">
        <is>
          <t>France
Europe · EUR</t>
        </is>
      </c>
      <c r="C45" s="31" t="n"/>
      <c r="D45" s="71" t="inlineStr">
        <is>
          <t>Concept stores in Paris and Lyon, plus one national department store group.</t>
        </is>
      </c>
      <c r="E45" s="31" t="n"/>
      <c r="F45" s="31" t="n"/>
      <c r="G45" s="31" t="n"/>
      <c r="H45" s="71" t="inlineStr">
        <is>
          <t>French-language labelling and the Triman recycling logo are required. Many stores accept deliveries only before 11:00.</t>
        </is>
      </c>
      <c r="I45" s="31" t="n"/>
      <c r="J45" s="31" t="n"/>
      <c r="K45" s="31" t="n"/>
      <c r="L45" s="71" t="inlineStr">
        <is>
          <t>Ceramics and table linen perform above average; furniture remains a small share of sales.</t>
        </is>
      </c>
      <c r="M45" s="31" t="n"/>
      <c r="N45" s="31" t="n"/>
    </row>
    <row r="46" ht="62.8" customHeight="1">
      <c r="B46" s="72" t="inlineStr">
        <is>
          <t>Sweden
Europe · SEK</t>
        </is>
      </c>
      <c r="C46" s="31" t="n"/>
      <c r="D46" s="73" t="inlineStr">
        <is>
          <t>A single distribution partner covers the Nordic region and supplies more than 40 stores.</t>
        </is>
      </c>
      <c r="E46" s="31" t="n"/>
      <c r="F46" s="31" t="n"/>
      <c r="G46" s="31" t="n"/>
      <c r="H46" s="73" t="inlineStr">
        <is>
          <t>Consolidated monthly road shipments from Rotterdam. Swedish care labels are applied by the distributor.</t>
        </is>
      </c>
      <c r="I46" s="31" t="n"/>
      <c r="J46" s="31" t="n"/>
      <c r="K46" s="31" t="n"/>
      <c r="L46" s="73" t="inlineStr">
        <is>
          <t>High expectations for sustainability documentation. FSC and OEKO-TEX certificates must accompany every order.</t>
        </is>
      </c>
      <c r="M46" s="31" t="n"/>
      <c r="N46" s="31" t="n"/>
    </row>
    <row r="47" ht="62.8" customHeight="1">
      <c r="B47" s="70" t="inlineStr">
        <is>
          <t>Japan
Asia-Pacific · JPY</t>
        </is>
      </c>
      <c r="C47" s="31" t="n"/>
      <c r="D47" s="71" t="inlineStr">
        <is>
          <t>Select lifestyle shops and a curated e-commerce platform. Order sizes are smaller, but customers reorder frequently.</t>
        </is>
      </c>
      <c r="E47" s="31" t="n"/>
      <c r="F47" s="31" t="n"/>
      <c r="G47" s="31" t="n"/>
      <c r="H47" s="71" t="inlineStr">
        <is>
          <t>PSE certification is required for all electrical items. Japanese-language care cards must be included in every package, and cosmetic damage to packaging is not accepted.</t>
        </is>
      </c>
      <c r="I47" s="31" t="n"/>
      <c r="J47" s="31" t="n"/>
      <c r="K47" s="31" t="n"/>
      <c r="L47" s="71" t="inlineStr">
        <is>
          <t>Fastest-growing market. Project Tidewater includes a dedicated Japanese e-commerce launch in March 2027.</t>
        </is>
      </c>
      <c r="M47" s="31" t="n"/>
      <c r="N47" s="31" t="n"/>
    </row>
    <row r="48" ht="49.6" customHeight="1">
      <c r="B48" s="72" t="inlineStr">
        <is>
          <t>Australia
Asia-Pacific · AUD</t>
        </is>
      </c>
      <c r="C48" s="31" t="n"/>
      <c r="D48" s="73" t="inlineStr">
        <is>
          <t>Coastal lifestyle retailers and a growing hospitality segment.</t>
        </is>
      </c>
      <c r="E48" s="31" t="n"/>
      <c r="F48" s="31" t="n"/>
      <c r="G48" s="31" t="n"/>
      <c r="H48" s="73" t="inlineStr">
        <is>
          <t>Sea freight from Rotterdam takes 38–45 days door to door. Timber products need a biosecurity declaration and ISPM 15 compliant packaging.</t>
        </is>
      </c>
      <c r="I48" s="31" t="n"/>
      <c r="J48" s="31" t="n"/>
      <c r="K48" s="31" t="n"/>
      <c r="L48" s="73" t="inlineStr">
        <is>
          <t>Seasons are reversed: summer collections must land by early October.</t>
        </is>
      </c>
      <c r="M48" s="31" t="n"/>
      <c r="N48" s="31" t="n"/>
    </row>
  </sheetData>
  <mergeCells count="43">
    <mergeCell ref="B47:C47"/>
    <mergeCell ref="L42:N42"/>
    <mergeCell ref="H47:K47"/>
    <mergeCell ref="B46:C46"/>
    <mergeCell ref="L45:N45"/>
    <mergeCell ref="H48:K48"/>
    <mergeCell ref="J19:N19"/>
    <mergeCell ref="D42:G42"/>
    <mergeCell ref="B6:N6"/>
    <mergeCell ref="H42:K42"/>
    <mergeCell ref="B43:C43"/>
    <mergeCell ref="B48:C48"/>
    <mergeCell ref="L41:N41"/>
    <mergeCell ref="B4:N4"/>
    <mergeCell ref="D44:G44"/>
    <mergeCell ref="L44:N44"/>
    <mergeCell ref="L40:N40"/>
    <mergeCell ref="B42:C42"/>
    <mergeCell ref="H43:K43"/>
    <mergeCell ref="H41:K41"/>
    <mergeCell ref="D46:G46"/>
    <mergeCell ref="D40:G40"/>
    <mergeCell ref="B44:C44"/>
    <mergeCell ref="H44:K44"/>
    <mergeCell ref="L46:N46"/>
    <mergeCell ref="H40:K40"/>
    <mergeCell ref="D45:G45"/>
    <mergeCell ref="H46:K46"/>
    <mergeCell ref="B40:C40"/>
    <mergeCell ref="B39:N39"/>
    <mergeCell ref="L48:N48"/>
    <mergeCell ref="D41:G41"/>
    <mergeCell ref="J20:N37"/>
    <mergeCell ref="D48:G48"/>
    <mergeCell ref="D47:G47"/>
    <mergeCell ref="B17:N17"/>
    <mergeCell ref="B45:C45"/>
    <mergeCell ref="L47:N47"/>
    <mergeCell ref="D43:G43"/>
    <mergeCell ref="L43:N43"/>
    <mergeCell ref="B41:C41"/>
    <mergeCell ref="H45:K45"/>
    <mergeCell ref="B19:H19"/>
  </mergeCells>
  <conditionalFormatting sqref="L8:L16">
    <cfRule type="cellIs" priority="1" operator="greaterThanOrEqual" dxfId="0">
      <formula>0</formula>
    </cfRule>
    <cfRule type="cellIs" priority="2" operator="lessThan" dxfId="1">
      <formula>0</formula>
    </cfRule>
  </conditionalFormatting>
  <conditionalFormatting sqref="J8:J15">
    <cfRule type="dataBar" priority="3">
      <dataBar>
        <cfvo type="num" val="0"/>
        <cfvo type="num" val="0.4"/>
        <color rgb="00C9D3E3"/>
      </dataBar>
    </cfRule>
  </conditionalFormatting>
  <pageMargins left="0.4" right="0.4" top="0.5" bottom="0.5" header="0.5" footer="0.5"/>
  <pageSetup orientation="landscape" paperSize="9" fitToHeight="0" fitToWidth="1"/>
  <headerFooter>
    <oddHeader/>
    <oddFooter>&amp;L&amp;8 Linden &amp; Loom · Global Sales &amp; Operations Report FY2026&amp;R&amp;8 &amp;A · Page &amp;P of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tabColor rgb="008C7B67"/>
    <outlinePr summaryBelow="1" summaryRight="1"/>
    <pageSetUpPr fitToPage="1"/>
  </sheetPr>
  <dimension ref="A1:P24"/>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2.5" customWidth="1" min="1" max="1"/>
    <col width="13" customWidth="1" min="2" max="2"/>
    <col width="30" customWidth="1" min="3" max="3"/>
    <col width="16" customWidth="1" min="4" max="4"/>
    <col width="13" customWidth="1" min="5" max="5"/>
    <col width="26" customWidth="1" min="6" max="6"/>
    <col width="28" customWidth="1" min="7" max="7"/>
    <col width="10" customWidth="1" min="8" max="8"/>
    <col width="12" customWidth="1" min="9" max="9"/>
    <col width="12" customWidth="1" min="10" max="10"/>
    <col width="11" customWidth="1" min="11" max="11"/>
    <col width="11" customWidth="1" min="12" max="12"/>
    <col width="62" customWidth="1" min="13" max="13"/>
    <col width="48" customWidth="1" min="14" max="14"/>
    <col width="22" customWidth="1" min="15" max="15"/>
    <col width="2.5" customWidth="1" min="16" max="16"/>
  </cols>
  <sheetData>
    <row r="1" ht="7" customHeight="1">
      <c r="A1" s="1" t="n"/>
      <c r="B1" s="1" t="n"/>
      <c r="C1" s="1" t="n"/>
      <c r="D1" s="1" t="n"/>
      <c r="E1" s="1" t="n"/>
      <c r="F1" s="1" t="n"/>
      <c r="G1" s="1" t="n"/>
      <c r="H1" s="1" t="n"/>
      <c r="I1" s="1" t="n"/>
      <c r="J1" s="1" t="n"/>
      <c r="K1" s="1" t="n"/>
      <c r="L1" s="1" t="n"/>
      <c r="M1" s="1" t="n"/>
      <c r="N1" s="1" t="n"/>
      <c r="O1" s="1" t="n"/>
      <c r="P1" s="1" t="n"/>
    </row>
    <row r="2" ht="22" customHeight="1">
      <c r="B2" s="53" t="inlineStr">
        <is>
          <t>LINDEN &amp; LOOM · GLOBAL SALES &amp; OPERATIONS REPORT FY2026</t>
        </is>
      </c>
    </row>
    <row r="3" ht="32" customHeight="1">
      <c r="B3" s="54" t="inlineStr">
        <is>
          <t>Product Catalog</t>
        </is>
      </c>
    </row>
    <row r="4" ht="30" customHeight="1">
      <c r="B4" s="55" t="inlineStr">
        <is>
          <t>Master data for the 16 active wholesale SKUs. List prices are in USD and are converted to local currency on the International Orders sheet at the FY2026 planning rates. Descriptions and care instructions are the approved customer-facing copy used on packaging, line sheets and retailer data feeds.</t>
        </is>
      </c>
    </row>
    <row r="5" ht="10" customHeight="1"/>
    <row r="6" ht="34" customHeight="1">
      <c r="B6" s="56" t="inlineStr">
        <is>
          <t>SKU</t>
        </is>
      </c>
      <c r="C6" s="56" t="inlineStr">
        <is>
          <t>Product name</t>
        </is>
      </c>
      <c r="D6" s="56" t="inlineStr">
        <is>
          <t>Category</t>
        </is>
      </c>
      <c r="E6" s="56" t="inlineStr">
        <is>
          <t>Collection</t>
        </is>
      </c>
      <c r="F6" s="56" t="inlineStr">
        <is>
          <t>Material</t>
        </is>
      </c>
      <c r="G6" s="56" t="inlineStr">
        <is>
          <t>Dimensions</t>
        </is>
      </c>
      <c r="H6" s="56" t="inlineStr">
        <is>
          <t>Weight (kg)</t>
        </is>
      </c>
      <c r="I6" s="56" t="inlineStr">
        <is>
          <t>List price (USD)</t>
        </is>
      </c>
      <c r="J6" s="56" t="inlineStr">
        <is>
          <t>Unit cost (USD)</t>
        </is>
      </c>
      <c r="K6" s="56" t="inlineStr">
        <is>
          <t>Gross margin</t>
        </is>
      </c>
      <c r="L6" s="56" t="inlineStr">
        <is>
          <t>Lifecycle</t>
        </is>
      </c>
      <c r="M6" s="56" t="inlineStr">
        <is>
          <t>Product description</t>
        </is>
      </c>
      <c r="N6" s="56" t="inlineStr">
        <is>
          <t>Care instructions</t>
        </is>
      </c>
      <c r="O6" s="56" t="inlineStr">
        <is>
          <t>Certifications</t>
        </is>
      </c>
    </row>
    <row r="7" ht="73" customHeight="1">
      <c r="B7" s="74" t="inlineStr">
        <is>
          <t>LL-LGT-101</t>
        </is>
      </c>
      <c r="C7" s="75" t="inlineStr">
        <is>
          <t>Halden Linen Pendant Lamp</t>
        </is>
      </c>
      <c r="D7" s="76" t="inlineStr">
        <is>
          <t>Lighting</t>
        </is>
      </c>
      <c r="E7" s="76" t="inlineStr">
        <is>
          <t>Halden</t>
        </is>
      </c>
      <c r="F7" s="76" t="inlineStr">
        <is>
          <t>Belgian linen shade, powder-coated steel</t>
        </is>
      </c>
      <c r="G7" s="76" t="inlineStr">
        <is>
          <t>Ø 45 × H 32 cm</t>
        </is>
      </c>
      <c r="H7" s="77" t="n">
        <v>1.6</v>
      </c>
      <c r="I7" s="78" t="n">
        <v>189</v>
      </c>
      <c r="J7" s="78" t="n">
        <v>74</v>
      </c>
      <c r="K7" s="79">
        <f>IFERROR(1-J7/I7,0)</f>
        <v>0.608465608465609</v>
      </c>
      <c r="L7" s="80" t="inlineStr">
        <is>
          <t>Core</t>
        </is>
      </c>
      <c r="M7" s="76" t="inlineStr">
        <is>
          <t>A soft drum pendant with a hand-stitched Belgian linen shade that diffuses light evenly over dining tables and kitchen islands. Supplied with 1.5 m of adjustable fabric cord and a matching ceiling canopy.</t>
        </is>
      </c>
      <c r="N7" s="76" t="inlineStr">
        <is>
          <t>Dust the shade weekly with a soft brush or the upholstery attachment of a vacuum cleaner. Do not use water or solvents on the linen.</t>
        </is>
      </c>
      <c r="O7" s="76" t="inlineStr">
        <is>
          <t>CE, UKCA</t>
        </is>
      </c>
    </row>
    <row r="8" ht="46.6" customHeight="1">
      <c r="B8" s="74" t="inlineStr">
        <is>
          <t>LL-LGT-104</t>
        </is>
      </c>
      <c r="C8" s="75" t="inlineStr">
        <is>
          <t>Sora Ceramic Table Lamp</t>
        </is>
      </c>
      <c r="D8" s="76" t="inlineStr">
        <is>
          <t>Lighting</t>
        </is>
      </c>
      <c r="E8" s="76" t="inlineStr">
        <is>
          <t>Sora</t>
        </is>
      </c>
      <c r="F8" s="76" t="inlineStr">
        <is>
          <t>Glazed stoneware base, cotton shade</t>
        </is>
      </c>
      <c r="G8" s="76" t="inlineStr">
        <is>
          <t>Ø 28 × H 46 cm</t>
        </is>
      </c>
      <c r="H8" s="77" t="n">
        <v>2.9</v>
      </c>
      <c r="I8" s="78" t="n">
        <v>149</v>
      </c>
      <c r="J8" s="78" t="n">
        <v>55</v>
      </c>
      <c r="K8" s="79">
        <f>IFERROR(1-J8/I8,0)</f>
        <v>0.630872483221477</v>
      </c>
      <c r="L8" s="80" t="inlineStr">
        <is>
          <t>Core</t>
        </is>
      </c>
      <c r="M8" s="76" t="inlineStr">
        <is>
          <t>Hand-thrown stoneware base finished in a matte sand glaze. Each piece varies slightly in tone, which is part of its character.</t>
        </is>
      </c>
      <c r="N8" s="76" t="inlineStr">
        <is>
          <t>Wipe the base with a dry cloth. Switch off and allow the bulb to cool before cleaning.</t>
        </is>
      </c>
      <c r="O8" s="76" t="inlineStr">
        <is>
          <t>CE, UKCA, PSE</t>
        </is>
      </c>
    </row>
    <row r="9" ht="73" customHeight="1">
      <c r="B9" s="74" t="inlineStr">
        <is>
          <t>LL-LGT-112</t>
        </is>
      </c>
      <c r="C9" s="75" t="inlineStr">
        <is>
          <t>Vik Brass Floor Lamp</t>
        </is>
      </c>
      <c r="D9" s="76" t="inlineStr">
        <is>
          <t>Lighting</t>
        </is>
      </c>
      <c r="E9" s="76" t="inlineStr">
        <is>
          <t>Vik</t>
        </is>
      </c>
      <c r="F9" s="76" t="inlineStr">
        <is>
          <t>Brushed brass, solid oak, marble foot</t>
        </is>
      </c>
      <c r="G9" s="76" t="inlineStr">
        <is>
          <t>W 38 × H 152 cm</t>
        </is>
      </c>
      <c r="H9" s="77" t="n">
        <v>7.4</v>
      </c>
      <c r="I9" s="78" t="n">
        <v>329</v>
      </c>
      <c r="J9" s="78" t="n">
        <v>131</v>
      </c>
      <c r="K9" s="79">
        <f>IFERROR(1-J9/I9,0)</f>
        <v>0.601823708206687</v>
      </c>
      <c r="L9" s="80" t="inlineStr">
        <is>
          <t>New</t>
        </is>
      </c>
      <c r="M9" s="76" t="inlineStr">
        <is>
          <t>A slender reading lamp with an adjustable brass arm that pivots 300 degrees, a solid oak stem and a weighted Carrara marble base for stability. The dimmer switch sits on the cord, within easy reach of a sofa or armchair.</t>
        </is>
      </c>
      <c r="N9" s="76" t="inlineStr">
        <is>
          <t>Polish the brass with a dry microfibre cloth; it will develop a warm patina over time. Avoid abrasive cleaners on marble and wipe up spills immediately.</t>
        </is>
      </c>
      <c r="O9" s="76" t="inlineStr">
        <is>
          <t>CE, UKCA, UL</t>
        </is>
      </c>
    </row>
    <row r="10" ht="73" customHeight="1">
      <c r="B10" s="74" t="inlineStr">
        <is>
          <t>LL-TXT-201</t>
        </is>
      </c>
      <c r="C10" s="75" t="inlineStr">
        <is>
          <t>Arden Stonewashed Linen Duvet Set</t>
        </is>
      </c>
      <c r="D10" s="76" t="inlineStr">
        <is>
          <t>Textiles</t>
        </is>
      </c>
      <c r="E10" s="76" t="inlineStr">
        <is>
          <t>Arden</t>
        </is>
      </c>
      <c r="F10" s="76" t="inlineStr">
        <is>
          <t>100% European flax linen</t>
        </is>
      </c>
      <c r="G10" s="76" t="inlineStr">
        <is>
          <t>Queen: cover 220 × 230 cm, 2 pillowcases 50 × 75 cm</t>
        </is>
      </c>
      <c r="H10" s="77" t="n">
        <v>2.1</v>
      </c>
      <c r="I10" s="78" t="n">
        <v>219</v>
      </c>
      <c r="J10" s="78" t="n">
        <v>82</v>
      </c>
      <c r="K10" s="79">
        <f>IFERROR(1-J10/I10,0)</f>
        <v>0.625570776255708</v>
      </c>
      <c r="L10" s="80" t="inlineStr">
        <is>
          <t>Core</t>
        </is>
      </c>
      <c r="M10" s="76" t="inlineStr">
        <is>
          <t>Garment-dyed and stonewashed for a relaxed, lived-in texture from the very first night. The set includes one duvet cover with a concealed button closure and two matching pillowcases with envelope backs.</t>
        </is>
      </c>
      <c r="N10" s="76" t="inlineStr">
        <is>
          <t>Machine wash at 40 °C with similar colours. Tumble dry on low or line dry, and remove promptly to reduce creasing. Do not bleach.</t>
        </is>
      </c>
      <c r="O10" s="76" t="inlineStr">
        <is>
          <t>OEKO-TEX Standard 100, European Flax</t>
        </is>
      </c>
    </row>
    <row r="11" ht="59.8" customHeight="1">
      <c r="B11" s="74" t="inlineStr">
        <is>
          <t>LL-TXT-205</t>
        </is>
      </c>
      <c r="C11" s="75" t="inlineStr">
        <is>
          <t>Fell Merino Wool Throw</t>
        </is>
      </c>
      <c r="D11" s="76" t="inlineStr">
        <is>
          <t>Textiles</t>
        </is>
      </c>
      <c r="E11" s="76" t="inlineStr">
        <is>
          <t>Fell</t>
        </is>
      </c>
      <c r="F11" s="76" t="inlineStr">
        <is>
          <t>100% extra-fine merino wool</t>
        </is>
      </c>
      <c r="G11" s="76" t="inlineStr">
        <is>
          <t>130 × 180 cm</t>
        </is>
      </c>
      <c r="H11" s="77" t="n">
        <v>1.1</v>
      </c>
      <c r="I11" s="78" t="n">
        <v>129</v>
      </c>
      <c r="J11" s="78" t="n">
        <v>46</v>
      </c>
      <c r="K11" s="79">
        <f>IFERROR(1-J11/I11,0)</f>
        <v>0.643410852713178</v>
      </c>
      <c r="L11" s="80" t="inlineStr">
        <is>
          <t>Core</t>
        </is>
      </c>
      <c r="M11" s="76" t="inlineStr">
        <is>
          <t>Woven in a small Lancashire mill from extra-fine merino yarn and finished with a hand-knotted fringe.</t>
        </is>
      </c>
      <c r="N11" s="76" t="inlineStr">
        <is>
          <t>Dry cleaning recommended. Air outdoors to refresh between uses. Store folded with cedar blocks during the summer months.</t>
        </is>
      </c>
      <c r="O11" s="76" t="inlineStr">
        <is>
          <t>Woolmark, RWS</t>
        </is>
      </c>
    </row>
    <row r="12" ht="33.4" customHeight="1">
      <c r="B12" s="74" t="inlineStr">
        <is>
          <t>LL-TXT-210</t>
        </is>
      </c>
      <c r="C12" s="75" t="inlineStr">
        <is>
          <t>Marlow Hand-Loomed Cushion Cover</t>
        </is>
      </c>
      <c r="D12" s="76" t="inlineStr">
        <is>
          <t>Textiles</t>
        </is>
      </c>
      <c r="E12" s="76" t="inlineStr">
        <is>
          <t>Marlow</t>
        </is>
      </c>
      <c r="F12" s="76" t="inlineStr">
        <is>
          <t>Cotton and jute blend</t>
        </is>
      </c>
      <c r="G12" s="76" t="inlineStr">
        <is>
          <t>50 × 50 cm</t>
        </is>
      </c>
      <c r="H12" s="77" t="n">
        <v>0.35</v>
      </c>
      <c r="I12" s="78" t="n">
        <v>39</v>
      </c>
      <c r="J12" s="78" t="n">
        <v>13</v>
      </c>
      <c r="K12" s="79">
        <f>IFERROR(1-J12/I12,0)</f>
        <v>0.666666666666667</v>
      </c>
      <c r="L12" s="80" t="inlineStr">
        <is>
          <t>Core</t>
        </is>
      </c>
      <c r="M12" s="76" t="inlineStr">
        <is>
          <t>Hand-loomed by an artisan cooperative in Rajasthan. Concealed zip; insert sold separately.</t>
        </is>
      </c>
      <c r="N12" s="76" t="inlineStr">
        <is>
          <t>Hand wash cold and dry flat. Do not wring.</t>
        </is>
      </c>
      <c r="O12" s="76" t="inlineStr">
        <is>
          <t>Fair Trade, GOTS (cotton)</t>
        </is>
      </c>
    </row>
    <row r="13" ht="59.8" customHeight="1">
      <c r="B13" s="74" t="inlineStr">
        <is>
          <t>LL-TXT-214</t>
        </is>
      </c>
      <c r="C13" s="75" t="inlineStr">
        <is>
          <t>Kesa Organic Cotton Towel Set</t>
        </is>
      </c>
      <c r="D13" s="76" t="inlineStr">
        <is>
          <t>Textiles</t>
        </is>
      </c>
      <c r="E13" s="76" t="inlineStr">
        <is>
          <t>Kesa</t>
        </is>
      </c>
      <c r="F13" s="76" t="inlineStr">
        <is>
          <t>600 gsm organic cotton terry</t>
        </is>
      </c>
      <c r="G13" s="76" t="inlineStr">
        <is>
          <t>2 bath towels 70 × 140 cm, 2 hand towels 50 × 90 cm</t>
        </is>
      </c>
      <c r="H13" s="77" t="n">
        <v>2.4</v>
      </c>
      <c r="I13" s="78" t="n">
        <v>79</v>
      </c>
      <c r="J13" s="78" t="n">
        <v>27</v>
      </c>
      <c r="K13" s="79">
        <f>IFERROR(1-J13/I13,0)</f>
        <v>0.658227848101266</v>
      </c>
      <c r="L13" s="80" t="inlineStr">
        <is>
          <t>Core</t>
        </is>
      </c>
      <c r="M13" s="76" t="inlineStr">
        <is>
          <t>A dense, quick-drying terry with a woven herringbone border. Each set contains two bath towels and two hand towels and is packed without plastic.</t>
        </is>
      </c>
      <c r="N13" s="76" t="inlineStr">
        <is>
          <t>Wash before first use. Machine wash at 60 °C and avoid fabric softener, which reduces absorbency.</t>
        </is>
      </c>
      <c r="O13" s="76" t="inlineStr">
        <is>
          <t>GOTS, OEKO-TEX Standard 100</t>
        </is>
      </c>
    </row>
    <row r="14" ht="73" customHeight="1">
      <c r="B14" s="74" t="inlineStr">
        <is>
          <t>LL-FUR-301</t>
        </is>
      </c>
      <c r="C14" s="75" t="inlineStr">
        <is>
          <t>Tove Solid Oak Dining Chair</t>
        </is>
      </c>
      <c r="D14" s="76" t="inlineStr">
        <is>
          <t>Furniture</t>
        </is>
      </c>
      <c r="E14" s="76" t="inlineStr">
        <is>
          <t>Tove</t>
        </is>
      </c>
      <c r="F14" s="76" t="inlineStr">
        <is>
          <t>FSC®-certified white oak, Danish paper cord</t>
        </is>
      </c>
      <c r="G14" s="76" t="inlineStr">
        <is>
          <t>W 48 × D 52 × H 78 cm, seat H 45 cm</t>
        </is>
      </c>
      <c r="H14" s="77" t="n">
        <v>6.2</v>
      </c>
      <c r="I14" s="78" t="n">
        <v>245</v>
      </c>
      <c r="J14" s="78" t="n">
        <v>104</v>
      </c>
      <c r="K14" s="79">
        <f>IFERROR(1-J14/I14,0)</f>
        <v>0.575510204081633</v>
      </c>
      <c r="L14" s="80" t="inlineStr">
        <is>
          <t>Core</t>
        </is>
      </c>
      <c r="M14" s="76" t="inlineStr">
        <is>
          <t>Steam-bent back rail and hand-woven Danish paper-cord seat, finished in a matte natural oil. Delivered fully assembled. Tested to EN 16139 for contract use, which makes it suitable for restaurants and hotel dining rooms.</t>
        </is>
      </c>
      <c r="N14" s="76" t="inlineStr">
        <is>
          <t>Wipe with a damp cloth and dry immediately. Re-oil the wood every 6–12 months with the Linden &amp; Loom care kit. Keep away from radiators and underfloor heating outlets.</t>
        </is>
      </c>
      <c r="O14" s="76" t="inlineStr">
        <is>
          <t>FSC®, EN 16139</t>
        </is>
      </c>
    </row>
    <row r="15" ht="99.40000000000001" customHeight="1">
      <c r="B15" s="74" t="inlineStr">
        <is>
          <t>LL-FUR-305</t>
        </is>
      </c>
      <c r="C15" s="75" t="inlineStr">
        <is>
          <t>Brenna Extendable Oak Dining Table</t>
        </is>
      </c>
      <c r="D15" s="76" t="inlineStr">
        <is>
          <t>Furniture</t>
        </is>
      </c>
      <c r="E15" s="76" t="inlineStr">
        <is>
          <t>Brenna</t>
        </is>
      </c>
      <c r="F15" s="76" t="inlineStr">
        <is>
          <t>FSC®-certified white oak, steel mechanism</t>
        </is>
      </c>
      <c r="G15" s="76" t="inlineStr">
        <is>
          <t>L 180–260 × W 95 × H 75 cm</t>
        </is>
      </c>
      <c r="H15" s="77" t="n">
        <v>68</v>
      </c>
      <c r="I15" s="78" t="n">
        <v>1490</v>
      </c>
      <c r="J15" s="78" t="n">
        <v>642</v>
      </c>
      <c r="K15" s="79">
        <f>IFERROR(1-J15/I15,0)</f>
        <v>0.569127516778524</v>
      </c>
      <c r="L15" s="80" t="inlineStr">
        <is>
          <t>Core</t>
        </is>
      </c>
      <c r="M15" s="76" t="inlineStr">
        <is>
          <t>Seats six to ten. Two butterfly leaves are stored inside the tabletop and unfold in under a minute without lifting. The solid oak top is finished with a hard-wax oil that resists heat marks up to 70 °C. Ships flat-packed in two cartons; assembly takes about 45 minutes with two people.</t>
        </is>
      </c>
      <c r="N15" s="76" t="inlineStr">
        <is>
          <t>Use coasters and placemats. Clean with a mild soap solution, wipe dry and re-treat the surface once a year.</t>
        </is>
      </c>
      <c r="O15" s="76" t="inlineStr">
        <is>
          <t>FSC®</t>
        </is>
      </c>
    </row>
    <row r="16" ht="46.6" customHeight="1">
      <c r="B16" s="74" t="inlineStr">
        <is>
          <t>LL-FUR-309</t>
        </is>
      </c>
      <c r="C16" s="75" t="inlineStr">
        <is>
          <t>Otto Rattan Lounge Chair</t>
        </is>
      </c>
      <c r="D16" s="76" t="inlineStr">
        <is>
          <t>Furniture</t>
        </is>
      </c>
      <c r="E16" s="76" t="inlineStr">
        <is>
          <t>Otto</t>
        </is>
      </c>
      <c r="F16" s="76" t="inlineStr">
        <is>
          <t>Natural rattan, linen-blend cushion</t>
        </is>
      </c>
      <c r="G16" s="76" t="inlineStr">
        <is>
          <t>W 72 × D 80 × H 74 cm</t>
        </is>
      </c>
      <c r="H16" s="77" t="n">
        <v>9.800000000000001</v>
      </c>
      <c r="I16" s="78" t="n">
        <v>690</v>
      </c>
      <c r="J16" s="78" t="n">
        <v>288</v>
      </c>
      <c r="K16" s="79">
        <f>IFERROR(1-J16/I16,0)</f>
        <v>0.582608695652174</v>
      </c>
      <c r="L16" s="80" t="inlineStr">
        <is>
          <t>New</t>
        </is>
      </c>
      <c r="M16" s="76" t="inlineStr">
        <is>
          <t>Low-slung lounge chair with a hand-wrapped rattan frame and a deep, removable seat cushion.</t>
        </is>
      </c>
      <c r="N16" s="76" t="inlineStr">
        <is>
          <t>For indoor use only. Vacuum the rattan with a brush attachment and spot clean the cushion cover.</t>
        </is>
      </c>
      <c r="O16" s="76" t="inlineStr">
        <is>
          <t>Indoor use only</t>
        </is>
      </c>
    </row>
    <row r="17" ht="46.6" customHeight="1">
      <c r="B17" s="74" t="inlineStr">
        <is>
          <t>LL-FUR-316</t>
        </is>
      </c>
      <c r="C17" s="75" t="inlineStr">
        <is>
          <t>Liss Walnut Side Table</t>
        </is>
      </c>
      <c r="D17" s="76" t="inlineStr">
        <is>
          <t>Furniture</t>
        </is>
      </c>
      <c r="E17" s="76" t="inlineStr">
        <is>
          <t>Liss</t>
        </is>
      </c>
      <c r="F17" s="76" t="inlineStr">
        <is>
          <t>Solid American black walnut</t>
        </is>
      </c>
      <c r="G17" s="76" t="inlineStr">
        <is>
          <t>Ø 45 × H 50 cm</t>
        </is>
      </c>
      <c r="H17" s="77" t="n">
        <v>5.1</v>
      </c>
      <c r="I17" s="78" t="n">
        <v>280</v>
      </c>
      <c r="J17" s="78" t="n">
        <v>112</v>
      </c>
      <c r="K17" s="79">
        <f>IFERROR(1-J17/I17,0)</f>
        <v>0.6</v>
      </c>
      <c r="L17" s="80" t="inlineStr">
        <is>
          <t>Core</t>
        </is>
      </c>
      <c r="M17" s="76" t="inlineStr">
        <is>
          <t>A compact round side table with a turned pedestal and a slightly raised lip that keeps cups and books in place.</t>
        </is>
      </c>
      <c r="N17" s="76" t="inlineStr">
        <is>
          <t>Dust regularly. Avoid prolonged direct sunlight, which gradually lightens walnut.</t>
        </is>
      </c>
      <c r="O17" s="76" t="inlineStr">
        <is>
          <t>FSC®</t>
        </is>
      </c>
    </row>
    <row r="18" ht="59.8" customHeight="1">
      <c r="B18" s="74" t="inlineStr">
        <is>
          <t>LL-KIT-401</t>
        </is>
      </c>
      <c r="C18" s="75" t="inlineStr">
        <is>
          <t>Hollis Stoneware Dinner Set</t>
        </is>
      </c>
      <c r="D18" s="76" t="inlineStr">
        <is>
          <t>Kitchen &amp; Dining</t>
        </is>
      </c>
      <c r="E18" s="76" t="inlineStr">
        <is>
          <t>Hollis</t>
        </is>
      </c>
      <c r="F18" s="76" t="inlineStr">
        <is>
          <t>Reactive-glaze stoneware</t>
        </is>
      </c>
      <c r="G18" s="76" t="inlineStr">
        <is>
          <t>16 pieces: 4 × plate Ø 27 cm, 4 × side plate Ø 21 cm, 4 × bowl Ø 16 cm, 4 × mug 350 ml</t>
        </is>
      </c>
      <c r="H18" s="77" t="n">
        <v>9.199999999999999</v>
      </c>
      <c r="I18" s="78" t="n">
        <v>165</v>
      </c>
      <c r="J18" s="78" t="n">
        <v>58</v>
      </c>
      <c r="K18" s="79">
        <f>IFERROR(1-J18/I18,0)</f>
        <v>0.648484848484848</v>
      </c>
      <c r="L18" s="80" t="inlineStr">
        <is>
          <t>Core</t>
        </is>
      </c>
      <c r="M18" s="76" t="inlineStr">
        <is>
          <t>A reactive glaze creates a unique speckled finish on every piece. Microwave and dishwasher safe; oven safe up to 200 °C.</t>
        </is>
      </c>
      <c r="N18" s="76" t="inlineStr">
        <is>
          <t>Dishwasher safe. Avoid sudden temperature changes, such as moving a plate from the freezer directly into a hot oven.</t>
        </is>
      </c>
      <c r="O18" s="76" t="inlineStr">
        <is>
          <t>LFGB, FDA food contact</t>
        </is>
      </c>
    </row>
    <row r="19" ht="73" customHeight="1">
      <c r="B19" s="74" t="inlineStr">
        <is>
          <t>LL-KIT-406</t>
        </is>
      </c>
      <c r="C19" s="75" t="inlineStr">
        <is>
          <t>Aska Enamelled Cast Iron Casserole</t>
        </is>
      </c>
      <c r="D19" s="76" t="inlineStr">
        <is>
          <t>Kitchen &amp; Dining</t>
        </is>
      </c>
      <c r="E19" s="76" t="inlineStr">
        <is>
          <t>Aska</t>
        </is>
      </c>
      <c r="F19" s="76" t="inlineStr">
        <is>
          <t>Enamelled cast iron</t>
        </is>
      </c>
      <c r="G19" s="76" t="inlineStr">
        <is>
          <t>4.5 L, Ø 26 cm</t>
        </is>
      </c>
      <c r="H19" s="77" t="n">
        <v>5.3</v>
      </c>
      <c r="I19" s="78" t="n">
        <v>210</v>
      </c>
      <c r="J19" s="78" t="n">
        <v>79</v>
      </c>
      <c r="K19" s="79">
        <f>IFERROR(1-J19/I19,0)</f>
        <v>0.623809523809524</v>
      </c>
      <c r="L19" s="80" t="inlineStr">
        <is>
          <t>Core</t>
        </is>
      </c>
      <c r="M19" s="76" t="inlineStr">
        <is>
          <t>Even heat distribution for slow braises, bread and stews. Suitable for all hob types, including induction, and for ovens up to 250 °C. The heavy, close-fitting lid has self-basting ridges on the underside.</t>
        </is>
      </c>
      <c r="N19" s="76" t="inlineStr">
        <is>
          <t>Allow to cool before washing. Hand washing extends the life of the enamel. Use wooden or silicone utensils.</t>
        </is>
      </c>
      <c r="O19" s="76" t="inlineStr">
        <is>
          <t>LFGB</t>
        </is>
      </c>
    </row>
    <row r="20" ht="33.4" customHeight="1">
      <c r="B20" s="74" t="inlineStr">
        <is>
          <t>LL-KIT-410</t>
        </is>
      </c>
      <c r="C20" s="75" t="inlineStr">
        <is>
          <t>Rune Acacia Serving Board</t>
        </is>
      </c>
      <c r="D20" s="76" t="inlineStr">
        <is>
          <t>Kitchen &amp; Dining</t>
        </is>
      </c>
      <c r="E20" s="76" t="inlineStr">
        <is>
          <t>Rune</t>
        </is>
      </c>
      <c r="F20" s="76" t="inlineStr">
        <is>
          <t>Solid acacia wood</t>
        </is>
      </c>
      <c r="G20" s="76" t="inlineStr">
        <is>
          <t>50 × 22 × 2 cm</t>
        </is>
      </c>
      <c r="H20" s="77" t="n">
        <v>1.3</v>
      </c>
      <c r="I20" s="78" t="n">
        <v>58</v>
      </c>
      <c r="J20" s="78" t="n">
        <v>19</v>
      </c>
      <c r="K20" s="79">
        <f>IFERROR(1-J20/I20,0)</f>
        <v>0.672413793103448</v>
      </c>
      <c r="L20" s="80" t="inlineStr">
        <is>
          <t>Core</t>
        </is>
      </c>
      <c r="M20" s="76" t="inlineStr">
        <is>
          <t>A generous board for bread, cheese and charcuterie, with a carved handle.</t>
        </is>
      </c>
      <c r="N20" s="76" t="inlineStr">
        <is>
          <t>Hand wash only. Oil monthly with food-safe mineral oil.</t>
        </is>
      </c>
      <c r="O20" s="76" t="inlineStr">
        <is>
          <t>FSC®</t>
        </is>
      </c>
    </row>
    <row r="21" ht="46.6" customHeight="1">
      <c r="B21" s="74" t="inlineStr">
        <is>
          <t>LL-DEC-501</t>
        </is>
      </c>
      <c r="C21" s="75" t="inlineStr">
        <is>
          <t>Lumi Recycled Glass Vase</t>
        </is>
      </c>
      <c r="D21" s="76" t="inlineStr">
        <is>
          <t>Decor &amp; Rugs</t>
        </is>
      </c>
      <c r="E21" s="76" t="inlineStr">
        <is>
          <t>Lumi</t>
        </is>
      </c>
      <c r="F21" s="76" t="inlineStr">
        <is>
          <t>100% recycled glass</t>
        </is>
      </c>
      <c r="G21" s="76" t="inlineStr">
        <is>
          <t>Ø 16 × H 30 cm</t>
        </is>
      </c>
      <c r="H21" s="77" t="n">
        <v>1.4</v>
      </c>
      <c r="I21" s="78" t="n">
        <v>64</v>
      </c>
      <c r="J21" s="78" t="n">
        <v>21</v>
      </c>
      <c r="K21" s="79">
        <f>IFERROR(1-J21/I21,0)</f>
        <v>0.671875</v>
      </c>
      <c r="L21" s="80" t="inlineStr">
        <is>
          <t>Seasonal</t>
        </is>
      </c>
      <c r="M21" s="76" t="inlineStr">
        <is>
          <t>Mouth-blown from recycled glass, with a faint green tint and tiny air bubbles that catch the light.</t>
        </is>
      </c>
      <c r="N21" s="76" t="inlineStr">
        <is>
          <t>Wash by hand in warm, soapy water.</t>
        </is>
      </c>
      <c r="O21" s="76" t="inlineStr">
        <is>
          <t>—</t>
        </is>
      </c>
    </row>
    <row r="22" ht="73" customHeight="1">
      <c r="B22" s="74" t="inlineStr">
        <is>
          <t>LL-DEC-507</t>
        </is>
      </c>
      <c r="C22" s="75" t="inlineStr">
        <is>
          <t>Tarn Wool Area Rug</t>
        </is>
      </c>
      <c r="D22" s="76" t="inlineStr">
        <is>
          <t>Decor &amp; Rugs</t>
        </is>
      </c>
      <c r="E22" s="76" t="inlineStr">
        <is>
          <t>Tarn</t>
        </is>
      </c>
      <c r="F22" s="76" t="inlineStr">
        <is>
          <t>New Zealand wool, cotton warp</t>
        </is>
      </c>
      <c r="G22" s="76" t="inlineStr">
        <is>
          <t>160 × 230 cm, pile height 12 mm</t>
        </is>
      </c>
      <c r="H22" s="77" t="n">
        <v>14.5</v>
      </c>
      <c r="I22" s="78" t="n">
        <v>540</v>
      </c>
      <c r="J22" s="78" t="n">
        <v>214</v>
      </c>
      <c r="K22" s="79">
        <f>IFERROR(1-J22/I22,0)</f>
        <v>0.603703703703704</v>
      </c>
      <c r="L22" s="80" t="inlineStr">
        <is>
          <t>Core</t>
        </is>
      </c>
      <c r="M22" s="76" t="inlineStr">
        <is>
          <t>Hand-tufted rug in a subtle tonal stripe. The dense wool pile is naturally stain-resistant and softens with use. Some initial shedding is normal and decreases after the first few weeks.</t>
        </is>
      </c>
      <c r="N22" s="76" t="inlineStr">
        <is>
          <t>Vacuum weekly without a beater bar. Blot spills immediately; do not rub. Professional cleaning is recommended every 12–18 months.</t>
        </is>
      </c>
      <c r="O22" s="76" t="inlineStr">
        <is>
          <t>GoodWeave</t>
        </is>
      </c>
    </row>
    <row r="24" ht="28" customHeight="1">
      <c r="B24" s="50" t="inlineStr">
        <is>
          <t>Gross margin = 1 − unit cost ÷ list price, before trade discounts. Margins below 55% are highlighted for pricing review. Dimensions are nominal and may vary by ±1 cm for handmade items.</t>
        </is>
      </c>
    </row>
  </sheetData>
  <autoFilter ref="B6:O22"/>
  <mergeCells count="2">
    <mergeCell ref="B24:O24"/>
    <mergeCell ref="B4:O4"/>
  </mergeCells>
  <conditionalFormatting sqref="B7:O22">
    <cfRule type="expression" priority="1" dxfId="3">
      <formula>MOD(ROW(),2)=0</formula>
    </cfRule>
  </conditionalFormatting>
  <conditionalFormatting sqref="L7:L22">
    <cfRule type="expression" priority="2" dxfId="4">
      <formula>L7="New"</formula>
    </cfRule>
  </conditionalFormatting>
  <conditionalFormatting sqref="K7:K22">
    <cfRule type="cellIs" priority="3" operator="lessThan" dxfId="4">
      <formula>0.55</formula>
    </cfRule>
  </conditionalFormatting>
  <dataValidations count="1">
    <dataValidation sqref="L7:L22" showDropDown="0" showInputMessage="0" showErrorMessage="0" allowBlank="0" type="list">
      <formula1>"Core,New,Seasonal"</formula1>
    </dataValidation>
  </dataValidations>
  <pageMargins left="0.4" right="0.4" top="0.5" bottom="0.5" header="0.5" footer="0.5"/>
  <pageSetup orientation="landscape" paperSize="9" fitToHeight="0" fitToWidth="1"/>
  <headerFooter>
    <oddHeader/>
    <oddFooter>&amp;L&amp;8 Linden &amp; Loom · Global Sales &amp; Operations Report FY2026&amp;R&amp;8 &amp;A · Page &amp;P of &amp;N</oddFooter>
    <evenHeader/>
    <evenFooter/>
    <firstHeader/>
    <firstFooter/>
  </headerFooter>
</worksheet>
</file>

<file path=xl/worksheets/sheet4.xml><?xml version="1.0" encoding="utf-8"?>
<worksheet xmlns="http://schemas.openxmlformats.org/spreadsheetml/2006/main">
  <sheetPr>
    <tabColor rgb="008C7B67"/>
    <outlinePr summaryBelow="1" summaryRight="1"/>
    <pageSetUpPr fitToPage="1"/>
  </sheetPr>
  <dimension ref="A1:S107"/>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2.5" customWidth="1" min="1" max="1"/>
    <col width="12" customWidth="1" min="2" max="2"/>
    <col width="12.5" customWidth="1" min="3" max="3"/>
    <col width="28" customWidth="1" min="4" max="4"/>
    <col width="15" customWidth="1" min="5" max="5"/>
    <col width="19" customWidth="1" min="6" max="6"/>
    <col width="12" customWidth="1" min="7" max="7"/>
    <col width="32" customWidth="1" min="8" max="8"/>
    <col width="16" customWidth="1" min="9" max="9"/>
    <col width="9" customWidth="1" min="10" max="10"/>
    <col width="9.5" customWidth="1" min="11" max="11"/>
    <col width="13" customWidth="1" min="12" max="12"/>
    <col width="10" customWidth="1" min="13" max="13"/>
    <col width="15" customWidth="1" min="14" max="14"/>
    <col width="15" customWidth="1" min="15" max="15"/>
    <col width="14" customWidth="1" min="16" max="16"/>
    <col width="12.5" customWidth="1" min="17" max="17"/>
    <col width="50" customWidth="1" min="18" max="18"/>
    <col width="2.5" customWidth="1" min="19" max="19"/>
  </cols>
  <sheetData>
    <row r="1" ht="7" customHeight="1">
      <c r="A1" s="1" t="n"/>
      <c r="B1" s="1" t="n"/>
      <c r="C1" s="1" t="n"/>
      <c r="D1" s="1" t="n"/>
      <c r="E1" s="1" t="n"/>
      <c r="F1" s="1" t="n"/>
      <c r="G1" s="1" t="n"/>
      <c r="H1" s="1" t="n"/>
      <c r="I1" s="1" t="n"/>
      <c r="J1" s="1" t="n"/>
      <c r="K1" s="1" t="n"/>
      <c r="L1" s="1" t="n"/>
      <c r="M1" s="1" t="n"/>
      <c r="N1" s="1" t="n"/>
      <c r="O1" s="1" t="n"/>
      <c r="P1" s="1" t="n"/>
      <c r="Q1" s="1" t="n"/>
      <c r="R1" s="1" t="n"/>
      <c r="S1" s="1" t="n"/>
    </row>
    <row r="2" ht="22" customHeight="1">
      <c r="B2" s="53" t="inlineStr">
        <is>
          <t>LINDEN &amp; LOOM · GLOBAL SALES &amp; OPERATIONS REPORT FY2026</t>
        </is>
      </c>
    </row>
    <row r="3" ht="32" customHeight="1">
      <c r="B3" s="54" t="inlineStr">
        <is>
          <t>International Orders</t>
        </is>
      </c>
    </row>
    <row r="4" ht="30" customHeight="1">
      <c r="B4" s="55" t="inlineStr">
        <is>
          <t>Wholesale and partner orders booked between 1 January and 30 September 2026. Product, currency and local prices are looked up from the Product Catalog and Regional Markets sheets. Cancelled orders stay on record for reference but are excluded from all revenue totals.</t>
        </is>
      </c>
    </row>
    <row r="5" ht="24" customHeight="1">
      <c r="B5" s="81" t="inlineStr">
        <is>
          <t>Visible orders</t>
        </is>
      </c>
      <c r="C5" s="82">
        <f>SUBTOTAL(103,B8:B107)</f>
        <v>100</v>
      </c>
      <c r="D5" s="83" t="inlineStr">
        <is>
          <t>Visible revenue excl. cancelled</t>
        </is>
      </c>
      <c r="E5" s="84">
        <f>SUMPRODUCT(SUBTOTAL(109,OFFSET(O8,ROW(O8:O107)-ROW(O8),0)),--(P8:P107&lt;&gt;$P$5))</f>
        <v>2256438.67</v>
      </c>
      <c r="K5" s="83" t="inlineStr">
        <is>
          <t>Status key</t>
        </is>
      </c>
      <c r="L5" s="85" t="inlineStr">
        <is>
          <t>Delivered</t>
        </is>
      </c>
      <c r="M5" s="86" t="inlineStr">
        <is>
          <t>In Transit</t>
        </is>
      </c>
      <c r="N5" s="87" t="inlineStr">
        <is>
          <t>Processing</t>
        </is>
      </c>
      <c r="O5" s="88" t="inlineStr">
        <is>
          <t>On Hold</t>
        </is>
      </c>
      <c r="P5" s="89" t="inlineStr">
        <is>
          <t>Cancelled</t>
        </is>
      </c>
    </row>
    <row r="6" ht="8" customHeight="1"/>
    <row r="7" ht="34" customHeight="1">
      <c r="B7" s="56" t="inlineStr">
        <is>
          <t>Order ID</t>
        </is>
      </c>
      <c r="C7" s="56" t="inlineStr">
        <is>
          <t>Order date</t>
        </is>
      </c>
      <c r="D7" s="56" t="inlineStr">
        <is>
          <t>Customer</t>
        </is>
      </c>
      <c r="E7" s="56" t="inlineStr">
        <is>
          <t>Market</t>
        </is>
      </c>
      <c r="F7" s="56" t="inlineStr">
        <is>
          <t>Channel</t>
        </is>
      </c>
      <c r="G7" s="56" t="inlineStr">
        <is>
          <t>SKU</t>
        </is>
      </c>
      <c r="H7" s="56" t="inlineStr">
        <is>
          <t>Product</t>
        </is>
      </c>
      <c r="I7" s="56" t="inlineStr">
        <is>
          <t>Category</t>
        </is>
      </c>
      <c r="J7" s="56" t="inlineStr">
        <is>
          <t>Qty</t>
        </is>
      </c>
      <c r="K7" s="56" t="inlineStr">
        <is>
          <t>Currency</t>
        </is>
      </c>
      <c r="L7" s="56" t="inlineStr">
        <is>
          <t>Unit price (local)</t>
        </is>
      </c>
      <c r="M7" s="56" t="inlineStr">
        <is>
          <t>Discount</t>
        </is>
      </c>
      <c r="N7" s="56" t="inlineStr">
        <is>
          <t>Net amount (local)</t>
        </is>
      </c>
      <c r="O7" s="56" t="inlineStr">
        <is>
          <t>Net amount (USD)</t>
        </is>
      </c>
      <c r="P7" s="56" t="inlineStr">
        <is>
          <t>Delivery status</t>
        </is>
      </c>
      <c r="Q7" s="56" t="inlineStr">
        <is>
          <t>Ship by</t>
        </is>
      </c>
      <c r="R7" s="56" t="inlineStr">
        <is>
          <t>Customer requirements</t>
        </is>
      </c>
    </row>
    <row r="8" ht="34.4" customHeight="1">
      <c r="B8" s="90" t="inlineStr">
        <is>
          <t>SO-26-1041</t>
        </is>
      </c>
      <c r="C8" s="91" t="n">
        <v>46023</v>
      </c>
      <c r="D8" s="76" t="inlineStr">
        <is>
          <t>Oakline Hospitality Group</t>
        </is>
      </c>
      <c r="E8" s="92" t="inlineStr">
        <is>
          <t>United States</t>
        </is>
      </c>
      <c r="F8" s="92" t="inlineStr">
        <is>
          <t>Contract / Hospitality</t>
        </is>
      </c>
      <c r="G8" s="92" t="inlineStr">
        <is>
          <t>LL-TXT-210</t>
        </is>
      </c>
      <c r="H8" s="76" t="str">
        <f>IFERROR(INDEX('Product Catalog'!$C$7:$C$22,MATCH(G8,'Product Catalog'!$B$7:$B$22,0)),"")</f>
        <v>Marlow Hand-Loomed Cushion Cover</v>
      </c>
      <c r="I8" s="92" t="str">
        <f>IFERROR(INDEX('Product Catalog'!$D$7:$D$22,MATCH(G8,'Product Catalog'!$B$7:$B$22,0)),"")</f>
        <v>Textiles</v>
      </c>
      <c r="J8" s="93" t="n">
        <v>960</v>
      </c>
      <c r="K8" s="80" t="str">
        <f>IFERROR(INDEX('Regional Markets'!$D$8:$D$15,MATCH(E8,'Regional Markets'!$B$8:$B$15,0)),"")</f>
        <v>USD</v>
      </c>
      <c r="L8" s="94">
        <f>ROUND(INDEX('Product Catalog'!$I$7:$I$22,MATCH(G8,'Product Catalog'!$B$7:$B$22,0))*INDEX('Regional Markets'!$E$8:$E$15,MATCH(E8,'Regional Markets'!$B$8:$B$15,0)),IF(K8="JPY",0,2))</f>
        <v>39</v>
      </c>
      <c r="M8" s="79" t="n">
        <v>0.13</v>
      </c>
      <c r="N8" s="94">
        <f>J8*L8*(1-M8)</f>
        <v>32572.8</v>
      </c>
      <c r="O8" s="78">
        <f>N8/INDEX('Regional Markets'!$E$8:$E$15,MATCH(E8,'Regional Markets'!$B$8:$B$15,0))</f>
        <v>32572.8</v>
      </c>
      <c r="P8" s="80" t="inlineStr">
        <is>
          <t>Delivered</t>
        </is>
      </c>
      <c r="Q8" s="91" t="n">
        <v>46055</v>
      </c>
      <c r="R8" s="76" t="inlineStr">
        <is>
          <t>Deliver to site with a lift-gate truck; the building has no loading dock.</t>
        </is>
      </c>
    </row>
    <row r="9" ht="34.4" customHeight="1">
      <c r="B9" s="90" t="inlineStr">
        <is>
          <t>SO-26-1042</t>
        </is>
      </c>
      <c r="C9" s="91" t="n">
        <v>46024</v>
      </c>
      <c r="D9" s="76" t="inlineStr">
        <is>
          <t>Galeries Ombre</t>
        </is>
      </c>
      <c r="E9" s="92" t="inlineStr">
        <is>
          <t>France</t>
        </is>
      </c>
      <c r="F9" s="92" t="inlineStr">
        <is>
          <t>Department Store</t>
        </is>
      </c>
      <c r="G9" s="92" t="inlineStr">
        <is>
          <t>LL-DEC-507</t>
        </is>
      </c>
      <c r="H9" s="76" t="str">
        <f>IFERROR(INDEX('Product Catalog'!$C$7:$C$22,MATCH(G9,'Product Catalog'!$B$7:$B$22,0)),"")</f>
        <v>Tarn Wool Area Rug</v>
      </c>
      <c r="I9" s="92" t="str">
        <f>IFERROR(INDEX('Product Catalog'!$D$7:$D$22,MATCH(G9,'Product Catalog'!$B$7:$B$22,0)),"")</f>
        <v>Decor &amp; Rugs</v>
      </c>
      <c r="J9" s="93" t="n">
        <v>56</v>
      </c>
      <c r="K9" s="80" t="str">
        <f>IFERROR(INDEX('Regional Markets'!$D$8:$D$15,MATCH(E9,'Regional Markets'!$B$8:$B$15,0)),"")</f>
        <v>EUR</v>
      </c>
      <c r="L9" s="94">
        <f>ROUND(INDEX('Product Catalog'!$I$7:$I$22,MATCH(G9,'Product Catalog'!$B$7:$B$22,0))*INDEX('Regional Markets'!$E$8:$E$15,MATCH(E9,'Regional Markets'!$B$8:$B$15,0)),IF(K9="JPY",0,2))</f>
        <v>496.8</v>
      </c>
      <c r="M9" s="79" t="n">
        <v>0.115</v>
      </c>
      <c r="N9" s="94">
        <f>J9*L9*(1-M9)</f>
        <v>24621.408</v>
      </c>
      <c r="O9" s="78">
        <f>N9/INDEX('Regional Markets'!$E$8:$E$15,MATCH(E9,'Regional Markets'!$B$8:$B$15,0))</f>
        <v>26762.4</v>
      </c>
      <c r="P9" s="80" t="inlineStr">
        <is>
          <t>Delivered</t>
        </is>
      </c>
      <c r="Q9" s="91" t="n">
        <v>46066</v>
      </c>
      <c r="R9" s="76" t="inlineStr">
        <is>
          <t>Ship complete only; do not release partial quantities.</t>
        </is>
      </c>
    </row>
    <row r="10" ht="34.4" customHeight="1">
      <c r="B10" s="90" t="inlineStr">
        <is>
          <t>SO-26-1043</t>
        </is>
      </c>
      <c r="C10" s="91" t="n">
        <v>46027</v>
      </c>
      <c r="D10" s="76" t="inlineStr">
        <is>
          <t>Hinoki Living</t>
        </is>
      </c>
      <c r="E10" s="92" t="inlineStr">
        <is>
          <t>Japan</t>
        </is>
      </c>
      <c r="F10" s="92" t="inlineStr">
        <is>
          <t>E-commerce</t>
        </is>
      </c>
      <c r="G10" s="92" t="inlineStr">
        <is>
          <t>LL-TXT-210</t>
        </is>
      </c>
      <c r="H10" s="76" t="str">
        <f>IFERROR(INDEX('Product Catalog'!$C$7:$C$22,MATCH(G10,'Product Catalog'!$B$7:$B$22,0)),"")</f>
        <v>Marlow Hand-Loomed Cushion Cover</v>
      </c>
      <c r="I10" s="92" t="str">
        <f>IFERROR(INDEX('Product Catalog'!$D$7:$D$22,MATCH(G10,'Product Catalog'!$B$7:$B$22,0)),"")</f>
        <v>Textiles</v>
      </c>
      <c r="J10" s="93" t="n">
        <v>744</v>
      </c>
      <c r="K10" s="80" t="str">
        <f>IFERROR(INDEX('Regional Markets'!$D$8:$D$15,MATCH(E10,'Regional Markets'!$B$8:$B$15,0)),"")</f>
        <v>JPY</v>
      </c>
      <c r="L10" s="94">
        <f>ROUND(INDEX('Product Catalog'!$I$7:$I$22,MATCH(G10,'Product Catalog'!$B$7:$B$22,0))*INDEX('Regional Markets'!$E$8:$E$15,MATCH(E10,'Regional Markets'!$B$8:$B$15,0)),IF(K10="JPY",0,2))</f>
        <v>5772</v>
      </c>
      <c r="M10" s="79" t="n">
        <v>0.04</v>
      </c>
      <c r="N10" s="94">
        <f>J10*L10*(1-M10)</f>
        <v>4122593.28</v>
      </c>
      <c r="O10" s="78">
        <f>N10/INDEX('Regional Markets'!$E$8:$E$15,MATCH(E10,'Regional Markets'!$B$8:$B$15,0))</f>
        <v>27855.36</v>
      </c>
      <c r="P10" s="80" t="inlineStr">
        <is>
          <t>Delivered</t>
        </is>
      </c>
      <c r="Q10" s="91" t="n">
        <v>46062</v>
      </c>
      <c r="R10" s="76" t="inlineStr">
        <is>
          <t>Deliver to the Osaka fulfilment centre; time-slot booking required.</t>
        </is>
      </c>
    </row>
    <row r="11" ht="34.4" customHeight="1">
      <c r="B11" s="90" t="inlineStr">
        <is>
          <t>SO-26-1044</t>
        </is>
      </c>
      <c r="C11" s="91" t="n">
        <v>46041</v>
      </c>
      <c r="D11" s="76" t="inlineStr">
        <is>
          <t>Nestwell Online</t>
        </is>
      </c>
      <c r="E11" s="92" t="inlineStr">
        <is>
          <t>United States</t>
        </is>
      </c>
      <c r="F11" s="92" t="inlineStr">
        <is>
          <t>E-commerce</t>
        </is>
      </c>
      <c r="G11" s="92" t="inlineStr">
        <is>
          <t>LL-DEC-501</t>
        </is>
      </c>
      <c r="H11" s="76" t="str">
        <f>IFERROR(INDEX('Product Catalog'!$C$7:$C$22,MATCH(G11,'Product Catalog'!$B$7:$B$22,0)),"")</f>
        <v>Lumi Recycled Glass Vase</v>
      </c>
      <c r="I11" s="92" t="str">
        <f>IFERROR(INDEX('Product Catalog'!$D$7:$D$22,MATCH(G11,'Product Catalog'!$B$7:$B$22,0)),"")</f>
        <v>Decor &amp; Rugs</v>
      </c>
      <c r="J11" s="93" t="n">
        <v>744</v>
      </c>
      <c r="K11" s="80" t="str">
        <f>IFERROR(INDEX('Regional Markets'!$D$8:$D$15,MATCH(E11,'Regional Markets'!$B$8:$B$15,0)),"")</f>
        <v>USD</v>
      </c>
      <c r="L11" s="94">
        <f>ROUND(INDEX('Product Catalog'!$I$7:$I$22,MATCH(G11,'Product Catalog'!$B$7:$B$22,0))*INDEX('Regional Markets'!$E$8:$E$15,MATCH(E11,'Regional Markets'!$B$8:$B$15,0)),IF(K11="JPY",0,2))</f>
        <v>64</v>
      </c>
      <c r="M11" s="79" t="n">
        <v>0.025</v>
      </c>
      <c r="N11" s="94">
        <f>J11*L11*(1-M11)</f>
        <v>46425.6</v>
      </c>
      <c r="O11" s="78">
        <f>N11/INDEX('Regional Markets'!$E$8:$E$15,MATCH(E11,'Regional Markets'!$B$8:$B$15,0))</f>
        <v>46425.6</v>
      </c>
      <c r="P11" s="80" t="inlineStr">
        <is>
          <t>Delivered</t>
        </is>
      </c>
      <c r="Q11" s="91" t="n">
        <v>46072</v>
      </c>
      <c r="R11" s="76" t="inlineStr">
        <is>
          <t>Drop-ship to end customers. No pricing or invoices inside parcels.</t>
        </is>
      </c>
    </row>
    <row r="12" ht="34.4" customHeight="1">
      <c r="B12" s="90" t="inlineStr">
        <is>
          <t>SO-26-1045</t>
        </is>
      </c>
      <c r="C12" s="91" t="n">
        <v>46042</v>
      </c>
      <c r="D12" s="76" t="inlineStr">
        <is>
          <t>Nordlicht Interiors</t>
        </is>
      </c>
      <c r="E12" s="92" t="inlineStr">
        <is>
          <t>Germany</t>
        </is>
      </c>
      <c r="F12" s="92" t="inlineStr">
        <is>
          <t>E-commerce</t>
        </is>
      </c>
      <c r="G12" s="92" t="inlineStr">
        <is>
          <t>LL-KIT-406</t>
        </is>
      </c>
      <c r="H12" s="76" t="str">
        <f>IFERROR(INDEX('Product Catalog'!$C$7:$C$22,MATCH(G12,'Product Catalog'!$B$7:$B$22,0)),"")</f>
        <v>Aska Enamelled Cast Iron Casserole</v>
      </c>
      <c r="I12" s="92" t="str">
        <f>IFERROR(INDEX('Product Catalog'!$D$7:$D$22,MATCH(G12,'Product Catalog'!$B$7:$B$22,0)),"")</f>
        <v>Kitchen &amp; Dining</v>
      </c>
      <c r="J12" s="93" t="n">
        <v>52</v>
      </c>
      <c r="K12" s="80" t="str">
        <f>IFERROR(INDEX('Regional Markets'!$D$8:$D$15,MATCH(E12,'Regional Markets'!$B$8:$B$15,0)),"")</f>
        <v>EUR</v>
      </c>
      <c r="L12" s="94">
        <f>ROUND(INDEX('Product Catalog'!$I$7:$I$22,MATCH(G12,'Product Catalog'!$B$7:$B$22,0))*INDEX('Regional Markets'!$E$8:$E$15,MATCH(E12,'Regional Markets'!$B$8:$B$15,0)),IF(K12="JPY",0,2))</f>
        <v>193.2</v>
      </c>
      <c r="M12" s="79" t="n">
        <v>0.05</v>
      </c>
      <c r="N12" s="94">
        <f>J12*L12*(1-M12)</f>
        <v>9544.08</v>
      </c>
      <c r="O12" s="78">
        <f>N12/INDEX('Regional Markets'!$E$8:$E$15,MATCH(E12,'Regional Markets'!$B$8:$B$15,0))</f>
        <v>10374</v>
      </c>
      <c r="P12" s="80" t="inlineStr">
        <is>
          <t>Delivered</t>
        </is>
      </c>
      <c r="Q12" s="91" t="n">
        <v>46065</v>
      </c>
      <c r="R12" s="76" t="inlineStr">
        <is>
          <t>Parcel-ready packaging: each unit must pass a 1.2 m drop test.</t>
        </is>
      </c>
    </row>
    <row r="13" ht="34.4" customHeight="1">
      <c r="B13" s="90" t="inlineStr">
        <is>
          <t>SO-26-1046</t>
        </is>
      </c>
      <c r="C13" s="91" t="n">
        <v>46048</v>
      </c>
      <c r="D13" s="76" t="inlineStr">
        <is>
          <t>Saltbush Home</t>
        </is>
      </c>
      <c r="E13" s="92" t="inlineStr">
        <is>
          <t>Australia</t>
        </is>
      </c>
      <c r="F13" s="92" t="inlineStr">
        <is>
          <t>Retail Partner</t>
        </is>
      </c>
      <c r="G13" s="92" t="inlineStr">
        <is>
          <t>LL-KIT-410</t>
        </is>
      </c>
      <c r="H13" s="76" t="str">
        <f>IFERROR(INDEX('Product Catalog'!$C$7:$C$22,MATCH(G13,'Product Catalog'!$B$7:$B$22,0)),"")</f>
        <v>Rune Acacia Serving Board</v>
      </c>
      <c r="I13" s="92" t="str">
        <f>IFERROR(INDEX('Product Catalog'!$D$7:$D$22,MATCH(G13,'Product Catalog'!$B$7:$B$22,0)),"")</f>
        <v>Kitchen &amp; Dining</v>
      </c>
      <c r="J13" s="93" t="n">
        <v>648</v>
      </c>
      <c r="K13" s="80" t="str">
        <f>IFERROR(INDEX('Regional Markets'!$D$8:$D$15,MATCH(E13,'Regional Markets'!$B$8:$B$15,0)),"")</f>
        <v>AUD</v>
      </c>
      <c r="L13" s="94">
        <f>ROUND(INDEX('Product Catalog'!$I$7:$I$22,MATCH(G13,'Product Catalog'!$B$7:$B$22,0))*INDEX('Regional Markets'!$E$8:$E$15,MATCH(E13,'Regional Markets'!$B$8:$B$15,0)),IF(K13="JPY",0,2))</f>
        <v>88.16</v>
      </c>
      <c r="M13" s="79" t="n">
        <v>0.08</v>
      </c>
      <c r="N13" s="94">
        <f>J13*L13*(1-M13)</f>
        <v>52557.4656</v>
      </c>
      <c r="O13" s="78">
        <f>N13/INDEX('Regional Markets'!$E$8:$E$15,MATCH(E13,'Regional Markets'!$B$8:$B$15,0))</f>
        <v>34577.28</v>
      </c>
      <c r="P13" s="80" t="inlineStr">
        <is>
          <t>Delivered</t>
        </is>
      </c>
      <c r="Q13" s="91" t="n">
        <v>46090</v>
      </c>
      <c r="R13" s="76" t="inlineStr">
        <is>
          <t>Timber items require a biosecurity declaration with the commercial invoice.</t>
        </is>
      </c>
    </row>
    <row r="14" ht="34.4" customHeight="1">
      <c r="B14" s="90" t="inlineStr">
        <is>
          <t>SO-26-1047</t>
        </is>
      </c>
      <c r="C14" s="91" t="n">
        <v>46049</v>
      </c>
      <c r="D14" s="76" t="inlineStr">
        <is>
          <t>Kew Lane Living</t>
        </is>
      </c>
      <c r="E14" s="92" t="inlineStr">
        <is>
          <t>United Kingdom</t>
        </is>
      </c>
      <c r="F14" s="92" t="inlineStr">
        <is>
          <t>Retail Partner</t>
        </is>
      </c>
      <c r="G14" s="92" t="inlineStr">
        <is>
          <t>LL-KIT-410</t>
        </is>
      </c>
      <c r="H14" s="76" t="str">
        <f>IFERROR(INDEX('Product Catalog'!$C$7:$C$22,MATCH(G14,'Product Catalog'!$B$7:$B$22,0)),"")</f>
        <v>Rune Acacia Serving Board</v>
      </c>
      <c r="I14" s="92" t="str">
        <f>IFERROR(INDEX('Product Catalog'!$D$7:$D$22,MATCH(G14,'Product Catalog'!$B$7:$B$22,0)),"")</f>
        <v>Kitchen &amp; Dining</v>
      </c>
      <c r="J14" s="93" t="n">
        <v>720</v>
      </c>
      <c r="K14" s="80" t="str">
        <f>IFERROR(INDEX('Regional Markets'!$D$8:$D$15,MATCH(E14,'Regional Markets'!$B$8:$B$15,0)),"")</f>
        <v>GBP</v>
      </c>
      <c r="L14" s="94">
        <f>ROUND(INDEX('Product Catalog'!$I$7:$I$22,MATCH(G14,'Product Catalog'!$B$7:$B$22,0))*INDEX('Regional Markets'!$E$8:$E$15,MATCH(E14,'Regional Markets'!$B$8:$B$15,0)),IF(K14="JPY",0,2))</f>
        <v>45.24</v>
      </c>
      <c r="M14" s="79" t="n">
        <v>0.055</v>
      </c>
      <c r="N14" s="94">
        <f>J14*L14*(1-M14)</f>
        <v>30781.296</v>
      </c>
      <c r="O14" s="78">
        <f>N14/INDEX('Regional Markets'!$E$8:$E$15,MATCH(E14,'Regional Markets'!$B$8:$B$15,0))</f>
        <v>39463.2</v>
      </c>
      <c r="P14" s="80" t="inlineStr">
        <is>
          <t>Delivered</t>
        </is>
      </c>
      <c r="Q14" s="91" t="n">
        <v>46083</v>
      </c>
      <c r="R14" s="76" t="inlineStr">
        <is>
          <t>Split shipment acceptable; invoice per shipment.</t>
        </is>
      </c>
    </row>
    <row r="15" ht="34.4" customHeight="1">
      <c r="B15" s="90" t="inlineStr">
        <is>
          <t>SO-26-1048</t>
        </is>
      </c>
      <c r="C15" s="91" t="n">
        <v>46050</v>
      </c>
      <c r="D15" s="76" t="inlineStr">
        <is>
          <t>Harbor &amp; Pine Home</t>
        </is>
      </c>
      <c r="E15" s="92" t="inlineStr">
        <is>
          <t>United States</t>
        </is>
      </c>
      <c r="F15" s="92" t="inlineStr">
        <is>
          <t>Retail Partner</t>
        </is>
      </c>
      <c r="G15" s="92" t="inlineStr">
        <is>
          <t>LL-FUR-301</t>
        </is>
      </c>
      <c r="H15" s="76" t="str">
        <f>IFERROR(INDEX('Product Catalog'!$C$7:$C$22,MATCH(G15,'Product Catalog'!$B$7:$B$22,0)),"")</f>
        <v>Tove Solid Oak Dining Chair</v>
      </c>
      <c r="I15" s="92" t="str">
        <f>IFERROR(INDEX('Product Catalog'!$D$7:$D$22,MATCH(G15,'Product Catalog'!$B$7:$B$22,0)),"")</f>
        <v>Furniture</v>
      </c>
      <c r="J15" s="93" t="n">
        <v>40</v>
      </c>
      <c r="K15" s="80" t="str">
        <f>IFERROR(INDEX('Regional Markets'!$D$8:$D$15,MATCH(E15,'Regional Markets'!$B$8:$B$15,0)),"")</f>
        <v>USD</v>
      </c>
      <c r="L15" s="94">
        <f>ROUND(INDEX('Product Catalog'!$I$7:$I$22,MATCH(G15,'Product Catalog'!$B$7:$B$22,0))*INDEX('Regional Markets'!$E$8:$E$15,MATCH(E15,'Regional Markets'!$B$8:$B$15,0)),IF(K15="JPY",0,2))</f>
        <v>245</v>
      </c>
      <c r="M15" s="79" t="n">
        <v>0.05</v>
      </c>
      <c r="N15" s="94">
        <f>J15*L15*(1-M15)</f>
        <v>9310</v>
      </c>
      <c r="O15" s="78">
        <f>N15/INDEX('Regional Markets'!$E$8:$E$15,MATCH(E15,'Regional Markets'!$B$8:$B$15,0))</f>
        <v>9310</v>
      </c>
      <c r="P15" s="80" t="inlineStr">
        <is>
          <t>Delivered</t>
        </is>
      </c>
      <c r="Q15" s="91" t="n">
        <v>46079</v>
      </c>
      <c r="R15" s="76" t="inlineStr">
        <is>
          <t>Deliver to Chicago DC; book a dock appointment at least 48 hours in advance.</t>
        </is>
      </c>
    </row>
    <row r="16" ht="34.4" customHeight="1">
      <c r="B16" s="90" t="inlineStr">
        <is>
          <t>SO-26-1049</t>
        </is>
      </c>
      <c r="C16" s="91" t="n">
        <v>46055</v>
      </c>
      <c r="D16" s="76" t="inlineStr">
        <is>
          <t>Westfield Living Co.</t>
        </is>
      </c>
      <c r="E16" s="92" t="inlineStr">
        <is>
          <t>United States</t>
        </is>
      </c>
      <c r="F16" s="92" t="inlineStr">
        <is>
          <t>Department Store</t>
        </is>
      </c>
      <c r="G16" s="92" t="inlineStr">
        <is>
          <t>LL-LGT-104</t>
        </is>
      </c>
      <c r="H16" s="76" t="str">
        <f>IFERROR(INDEX('Product Catalog'!$C$7:$C$22,MATCH(G16,'Product Catalog'!$B$7:$B$22,0)),"")</f>
        <v>Sora Ceramic Table Lamp</v>
      </c>
      <c r="I16" s="92" t="str">
        <f>IFERROR(INDEX('Product Catalog'!$D$7:$D$22,MATCH(G16,'Product Catalog'!$B$7:$B$22,0)),"")</f>
        <v>Lighting</v>
      </c>
      <c r="J16" s="93" t="n">
        <v>276</v>
      </c>
      <c r="K16" s="80" t="str">
        <f>IFERROR(INDEX('Regional Markets'!$D$8:$D$15,MATCH(E16,'Regional Markets'!$B$8:$B$15,0)),"")</f>
        <v>USD</v>
      </c>
      <c r="L16" s="94">
        <f>ROUND(INDEX('Product Catalog'!$I$7:$I$22,MATCH(G16,'Product Catalog'!$B$7:$B$22,0))*INDEX('Regional Markets'!$E$8:$E$15,MATCH(E16,'Regional Markets'!$B$8:$B$15,0)),IF(K16="JPY",0,2))</f>
        <v>149</v>
      </c>
      <c r="M16" s="79" t="n">
        <v>0.125</v>
      </c>
      <c r="N16" s="94">
        <f>J16*L16*(1-M16)</f>
        <v>35983.5</v>
      </c>
      <c r="O16" s="78">
        <f>N16/INDEX('Regional Markets'!$E$8:$E$15,MATCH(E16,'Regional Markets'!$B$8:$B$15,0))</f>
        <v>35983.5</v>
      </c>
      <c r="P16" s="80" t="inlineStr">
        <is>
          <t>Delivered</t>
        </is>
      </c>
      <c r="Q16" s="91" t="n">
        <v>46083</v>
      </c>
      <c r="R16" s="76" t="inlineStr">
        <is>
          <t>EDI 856 advance ship notice must be transmitted before dispatch.</t>
        </is>
      </c>
    </row>
    <row r="17" ht="34.4" customHeight="1">
      <c r="B17" s="90" t="inlineStr">
        <is>
          <t>SO-26-1050</t>
        </is>
      </c>
      <c r="C17" s="91" t="n">
        <v>46055</v>
      </c>
      <c r="D17" s="76" t="inlineStr">
        <is>
          <t>Westfield Living Co.</t>
        </is>
      </c>
      <c r="E17" s="92" t="inlineStr">
        <is>
          <t>United States</t>
        </is>
      </c>
      <c r="F17" s="92" t="inlineStr">
        <is>
          <t>Department Store</t>
        </is>
      </c>
      <c r="G17" s="92" t="inlineStr">
        <is>
          <t>LL-KIT-406</t>
        </is>
      </c>
      <c r="H17" s="76" t="str">
        <f>IFERROR(INDEX('Product Catalog'!$C$7:$C$22,MATCH(G17,'Product Catalog'!$B$7:$B$22,0)),"")</f>
        <v>Aska Enamelled Cast Iron Casserole</v>
      </c>
      <c r="I17" s="92" t="str">
        <f>IFERROR(INDEX('Product Catalog'!$D$7:$D$22,MATCH(G17,'Product Catalog'!$B$7:$B$22,0)),"")</f>
        <v>Kitchen &amp; Dining</v>
      </c>
      <c r="J17" s="93" t="n">
        <v>100</v>
      </c>
      <c r="K17" s="80" t="str">
        <f>IFERROR(INDEX('Regional Markets'!$D$8:$D$15,MATCH(E17,'Regional Markets'!$B$8:$B$15,0)),"")</f>
        <v>USD</v>
      </c>
      <c r="L17" s="94">
        <f>ROUND(INDEX('Product Catalog'!$I$7:$I$22,MATCH(G17,'Product Catalog'!$B$7:$B$22,0))*INDEX('Regional Markets'!$E$8:$E$15,MATCH(E17,'Regional Markets'!$B$8:$B$15,0)),IF(K17="JPY",0,2))</f>
        <v>210</v>
      </c>
      <c r="M17" s="79" t="n">
        <v>0.125</v>
      </c>
      <c r="N17" s="94">
        <f>J17*L17*(1-M17)</f>
        <v>18375</v>
      </c>
      <c r="O17" s="78">
        <f>N17/INDEX('Regional Markets'!$E$8:$E$15,MATCH(E17,'Regional Markets'!$B$8:$B$15,0))</f>
        <v>18375</v>
      </c>
      <c r="P17" s="80" t="inlineStr">
        <is>
          <t>Delivered</t>
        </is>
      </c>
      <c r="Q17" s="91" t="n">
        <v>46090</v>
      </c>
      <c r="R17" s="76" t="inlineStr">
        <is>
          <t>EDI 856 advance ship notice must be transmitted before dispatch.</t>
        </is>
      </c>
    </row>
    <row r="18" ht="34.4" customHeight="1">
      <c r="B18" s="90" t="inlineStr">
        <is>
          <t>SO-26-1051</t>
        </is>
      </c>
      <c r="C18" s="91" t="n">
        <v>46056</v>
      </c>
      <c r="D18" s="76" t="inlineStr">
        <is>
          <t>Hinoki Living</t>
        </is>
      </c>
      <c r="E18" s="92" t="inlineStr">
        <is>
          <t>Japan</t>
        </is>
      </c>
      <c r="F18" s="92" t="inlineStr">
        <is>
          <t>E-commerce</t>
        </is>
      </c>
      <c r="G18" s="92" t="inlineStr">
        <is>
          <t>LL-TXT-205</t>
        </is>
      </c>
      <c r="H18" s="76" t="str">
        <f>IFERROR(INDEX('Product Catalog'!$C$7:$C$22,MATCH(G18,'Product Catalog'!$B$7:$B$22,0)),"")</f>
        <v>Fell Merino Wool Throw</v>
      </c>
      <c r="I18" s="92" t="str">
        <f>IFERROR(INDEX('Product Catalog'!$D$7:$D$22,MATCH(G18,'Product Catalog'!$B$7:$B$22,0)),"")</f>
        <v>Textiles</v>
      </c>
      <c r="J18" s="93" t="n">
        <v>228</v>
      </c>
      <c r="K18" s="80" t="str">
        <f>IFERROR(INDEX('Regional Markets'!$D$8:$D$15,MATCH(E18,'Regional Markets'!$B$8:$B$15,0)),"")</f>
        <v>JPY</v>
      </c>
      <c r="L18" s="94">
        <f>ROUND(INDEX('Product Catalog'!$I$7:$I$22,MATCH(G18,'Product Catalog'!$B$7:$B$22,0))*INDEX('Regional Markets'!$E$8:$E$15,MATCH(E18,'Regional Markets'!$B$8:$B$15,0)),IF(K18="JPY",0,2))</f>
        <v>19092</v>
      </c>
      <c r="M18" s="79" t="n">
        <v>0.045</v>
      </c>
      <c r="N18" s="94">
        <f>J18*L18*(1-M18)</f>
        <v>4157092.08</v>
      </c>
      <c r="O18" s="78">
        <f>N18/INDEX('Regional Markets'!$E$8:$E$15,MATCH(E18,'Regional Markets'!$B$8:$B$15,0))</f>
        <v>28088.46</v>
      </c>
      <c r="P18" s="80" t="inlineStr">
        <is>
          <t>Delivered</t>
        </is>
      </c>
      <c r="Q18" s="91" t="n">
        <v>46097</v>
      </c>
      <c r="R18" s="76" t="inlineStr">
        <is>
          <t>Deliver to the Osaka fulfilment centre; time-slot booking required.</t>
        </is>
      </c>
    </row>
    <row r="19" ht="34.4" customHeight="1">
      <c r="B19" s="90" t="inlineStr">
        <is>
          <t>SO-26-1052</t>
        </is>
      </c>
      <c r="C19" s="91" t="n">
        <v>46062</v>
      </c>
      <c r="D19" s="76" t="inlineStr">
        <is>
          <t>Nestwell Online</t>
        </is>
      </c>
      <c r="E19" s="92" t="inlineStr">
        <is>
          <t>United States</t>
        </is>
      </c>
      <c r="F19" s="92" t="inlineStr">
        <is>
          <t>E-commerce</t>
        </is>
      </c>
      <c r="G19" s="92" t="inlineStr">
        <is>
          <t>LL-FUR-316</t>
        </is>
      </c>
      <c r="H19" s="76" t="str">
        <f>IFERROR(INDEX('Product Catalog'!$C$7:$C$22,MATCH(G19,'Product Catalog'!$B$7:$B$22,0)),"")</f>
        <v>Liss Walnut Side Table</v>
      </c>
      <c r="I19" s="92" t="str">
        <f>IFERROR(INDEX('Product Catalog'!$D$7:$D$22,MATCH(G19,'Product Catalog'!$B$7:$B$22,0)),"")</f>
        <v>Furniture</v>
      </c>
      <c r="J19" s="93" t="n">
        <v>100</v>
      </c>
      <c r="K19" s="80" t="str">
        <f>IFERROR(INDEX('Regional Markets'!$D$8:$D$15,MATCH(E19,'Regional Markets'!$B$8:$B$15,0)),"")</f>
        <v>USD</v>
      </c>
      <c r="L19" s="94">
        <f>ROUND(INDEX('Product Catalog'!$I$7:$I$22,MATCH(G19,'Product Catalog'!$B$7:$B$22,0))*INDEX('Regional Markets'!$E$8:$E$15,MATCH(E19,'Regional Markets'!$B$8:$B$15,0)),IF(K19="JPY",0,2))</f>
        <v>280</v>
      </c>
      <c r="M19" s="79" t="n">
        <v>0.03</v>
      </c>
      <c r="N19" s="94">
        <f>J19*L19*(1-M19)</f>
        <v>27160</v>
      </c>
      <c r="O19" s="78">
        <f>N19/INDEX('Regional Markets'!$E$8:$E$15,MATCH(E19,'Regional Markets'!$B$8:$B$15,0))</f>
        <v>27160</v>
      </c>
      <c r="P19" s="80" t="inlineStr">
        <is>
          <t>Delivered</t>
        </is>
      </c>
      <c r="Q19" s="91" t="n">
        <v>46090</v>
      </c>
      <c r="R19" s="76" t="inlineStr">
        <is>
          <t>Ship within two business days of the order; daily stock feed required.</t>
        </is>
      </c>
    </row>
    <row r="20" ht="47.6" customHeight="1">
      <c r="B20" s="90" t="inlineStr">
        <is>
          <t>SO-26-1053</t>
        </is>
      </c>
      <c r="C20" s="91" t="n">
        <v>46062</v>
      </c>
      <c r="D20" s="76" t="inlineStr">
        <is>
          <t>Kurashi Select</t>
        </is>
      </c>
      <c r="E20" s="92" t="inlineStr">
        <is>
          <t>Japan</t>
        </is>
      </c>
      <c r="F20" s="92" t="inlineStr">
        <is>
          <t>Retail Partner</t>
        </is>
      </c>
      <c r="G20" s="92" t="inlineStr">
        <is>
          <t>LL-FUR-305</t>
        </is>
      </c>
      <c r="H20" s="76" t="str">
        <f>IFERROR(INDEX('Product Catalog'!$C$7:$C$22,MATCH(G20,'Product Catalog'!$B$7:$B$22,0)),"")</f>
        <v>Brenna Extendable Oak Dining Table</v>
      </c>
      <c r="I20" s="92" t="str">
        <f>IFERROR(INDEX('Product Catalog'!$D$7:$D$22,MATCH(G20,'Product Catalog'!$B$7:$B$22,0)),"")</f>
        <v>Furniture</v>
      </c>
      <c r="J20" s="93" t="n">
        <v>16</v>
      </c>
      <c r="K20" s="80" t="str">
        <f>IFERROR(INDEX('Regional Markets'!$D$8:$D$15,MATCH(E20,'Regional Markets'!$B$8:$B$15,0)),"")</f>
        <v>JPY</v>
      </c>
      <c r="L20" s="94">
        <f>ROUND(INDEX('Product Catalog'!$I$7:$I$22,MATCH(G20,'Product Catalog'!$B$7:$B$22,0))*INDEX('Regional Markets'!$E$8:$E$15,MATCH(E20,'Regional Markets'!$B$8:$B$15,0)),IF(K20="JPY",0,2))</f>
        <v>220520</v>
      </c>
      <c r="M20" s="79" t="n">
        <v>0.1</v>
      </c>
      <c r="N20" s="94">
        <f>J20*L20*(1-M20)</f>
        <v>3175488</v>
      </c>
      <c r="O20" s="78">
        <f>N20/INDEX('Regional Markets'!$E$8:$E$15,MATCH(E20,'Regional Markets'!$B$8:$B$15,0))</f>
        <v>21456</v>
      </c>
      <c r="P20" s="80" t="inlineStr">
        <is>
          <t>Delivered</t>
        </is>
      </c>
      <c r="Q20" s="91" t="n">
        <v>46087</v>
      </c>
      <c r="R20" s="76" t="inlineStr">
        <is>
          <t>Japanese care card inside each package. Packaging must arrive free of dents and scuffs.</t>
        </is>
      </c>
    </row>
    <row r="21" ht="47.6" customHeight="1">
      <c r="B21" s="90" t="inlineStr">
        <is>
          <t>SO-26-1054</t>
        </is>
      </c>
      <c r="C21" s="91" t="n">
        <v>46066</v>
      </c>
      <c r="D21" s="76" t="inlineStr">
        <is>
          <t>Hem &amp; Sjö Distribution AB</t>
        </is>
      </c>
      <c r="E21" s="92" t="inlineStr">
        <is>
          <t>Sweden</t>
        </is>
      </c>
      <c r="F21" s="92" t="inlineStr">
        <is>
          <t>Distributor</t>
        </is>
      </c>
      <c r="G21" s="92" t="inlineStr">
        <is>
          <t>LL-TXT-205</t>
        </is>
      </c>
      <c r="H21" s="76" t="str">
        <f>IFERROR(INDEX('Product Catalog'!$C$7:$C$22,MATCH(G21,'Product Catalog'!$B$7:$B$22,0)),"")</f>
        <v>Fell Merino Wool Throw</v>
      </c>
      <c r="I21" s="92" t="str">
        <f>IFERROR(INDEX('Product Catalog'!$D$7:$D$22,MATCH(G21,'Product Catalog'!$B$7:$B$22,0)),"")</f>
        <v>Textiles</v>
      </c>
      <c r="J21" s="93" t="n">
        <v>460</v>
      </c>
      <c r="K21" s="80" t="str">
        <f>IFERROR(INDEX('Regional Markets'!$D$8:$D$15,MATCH(E21,'Regional Markets'!$B$8:$B$15,0)),"")</f>
        <v>SEK</v>
      </c>
      <c r="L21" s="94">
        <f>ROUND(INDEX('Product Catalog'!$I$7:$I$22,MATCH(G21,'Product Catalog'!$B$7:$B$22,0))*INDEX('Regional Markets'!$E$8:$E$15,MATCH(E21,'Regional Markets'!$B$8:$B$15,0)),IF(K21="JPY",0,2))</f>
        <v>1367.4</v>
      </c>
      <c r="M21" s="79" t="n">
        <v>0.1</v>
      </c>
      <c r="N21" s="94">
        <f>J21*L21*(1-M21)</f>
        <v>566103.6</v>
      </c>
      <c r="O21" s="78">
        <f>N21/INDEX('Regional Markets'!$E$8:$E$15,MATCH(E21,'Regional Markets'!$B$8:$B$15,0))</f>
        <v>53406</v>
      </c>
      <c r="P21" s="80" t="inlineStr">
        <is>
          <t>Delivered</t>
        </is>
      </c>
      <c r="Q21" s="91" t="n">
        <v>46091</v>
      </c>
      <c r="R21" s="76" t="inlineStr">
        <is>
          <t>Monthly consolidated road freight. Attach FSC certificates to the shipping documents.</t>
        </is>
      </c>
    </row>
    <row r="22" ht="47.6" customHeight="1">
      <c r="B22" s="90" t="inlineStr">
        <is>
          <t>SO-26-1055</t>
        </is>
      </c>
      <c r="C22" s="91" t="n">
        <v>46069</v>
      </c>
      <c r="D22" s="76" t="inlineStr">
        <is>
          <t>Hem &amp; Sjö Distribution AB</t>
        </is>
      </c>
      <c r="E22" s="92" t="inlineStr">
        <is>
          <t>Sweden</t>
        </is>
      </c>
      <c r="F22" s="92" t="inlineStr">
        <is>
          <t>Distributor</t>
        </is>
      </c>
      <c r="G22" s="92" t="inlineStr">
        <is>
          <t>LL-LGT-104</t>
        </is>
      </c>
      <c r="H22" s="76" t="str">
        <f>IFERROR(INDEX('Product Catalog'!$C$7:$C$22,MATCH(G22,'Product Catalog'!$B$7:$B$22,0)),"")</f>
        <v>Sora Ceramic Table Lamp</v>
      </c>
      <c r="I22" s="92" t="str">
        <f>IFERROR(INDEX('Product Catalog'!$D$7:$D$22,MATCH(G22,'Product Catalog'!$B$7:$B$22,0)),"")</f>
        <v>Lighting</v>
      </c>
      <c r="J22" s="93" t="n">
        <v>326</v>
      </c>
      <c r="K22" s="80" t="str">
        <f>IFERROR(INDEX('Regional Markets'!$D$8:$D$15,MATCH(E22,'Regional Markets'!$B$8:$B$15,0)),"")</f>
        <v>SEK</v>
      </c>
      <c r="L22" s="94">
        <f>ROUND(INDEX('Product Catalog'!$I$7:$I$22,MATCH(G22,'Product Catalog'!$B$7:$B$22,0))*INDEX('Regional Markets'!$E$8:$E$15,MATCH(E22,'Regional Markets'!$B$8:$B$15,0)),IF(K22="JPY",0,2))</f>
        <v>1579.4</v>
      </c>
      <c r="M22" s="79" t="n">
        <v>0.105</v>
      </c>
      <c r="N22" s="94">
        <f>J22*L22*(1-M22)</f>
        <v>460821.538</v>
      </c>
      <c r="O22" s="78">
        <f>N22/INDEX('Regional Markets'!$E$8:$E$15,MATCH(E22,'Regional Markets'!$B$8:$B$15,0))</f>
        <v>43473.73</v>
      </c>
      <c r="P22" s="80" t="inlineStr">
        <is>
          <t>Delivered</t>
        </is>
      </c>
      <c r="Q22" s="91" t="n">
        <v>46091</v>
      </c>
      <c r="R22" s="76" t="inlineStr">
        <is>
          <t>Monthly consolidated road freight. Attach FSC certificates to the shipping documents.</t>
        </is>
      </c>
    </row>
    <row r="23" ht="34.4" customHeight="1">
      <c r="B23" s="90" t="inlineStr">
        <is>
          <t>SO-26-1056</t>
        </is>
      </c>
      <c r="C23" s="91" t="n">
        <v>46079</v>
      </c>
      <c r="D23" s="76" t="inlineStr">
        <is>
          <t>Hinoki Living</t>
        </is>
      </c>
      <c r="E23" s="92" t="inlineStr">
        <is>
          <t>Japan</t>
        </is>
      </c>
      <c r="F23" s="92" t="inlineStr">
        <is>
          <t>E-commerce</t>
        </is>
      </c>
      <c r="G23" s="92" t="inlineStr">
        <is>
          <t>LL-KIT-406</t>
        </is>
      </c>
      <c r="H23" s="76" t="str">
        <f>IFERROR(INDEX('Product Catalog'!$C$7:$C$22,MATCH(G23,'Product Catalog'!$B$7:$B$22,0)),"")</f>
        <v>Aska Enamelled Cast Iron Casserole</v>
      </c>
      <c r="I23" s="92" t="str">
        <f>IFERROR(INDEX('Product Catalog'!$D$7:$D$22,MATCH(G23,'Product Catalog'!$B$7:$B$22,0)),"")</f>
        <v>Kitchen &amp; Dining</v>
      </c>
      <c r="J23" s="93" t="n">
        <v>88</v>
      </c>
      <c r="K23" s="80" t="str">
        <f>IFERROR(INDEX('Regional Markets'!$D$8:$D$15,MATCH(E23,'Regional Markets'!$B$8:$B$15,0)),"")</f>
        <v>JPY</v>
      </c>
      <c r="L23" s="94">
        <f>ROUND(INDEX('Product Catalog'!$I$7:$I$22,MATCH(G23,'Product Catalog'!$B$7:$B$22,0))*INDEX('Regional Markets'!$E$8:$E$15,MATCH(E23,'Regional Markets'!$B$8:$B$15,0)),IF(K23="JPY",0,2))</f>
        <v>31080</v>
      </c>
      <c r="M23" s="79" t="n">
        <v>0.03</v>
      </c>
      <c r="N23" s="94">
        <f>J23*L23*(1-M23)</f>
        <v>2652988.8</v>
      </c>
      <c r="O23" s="78">
        <f>N23/INDEX('Regional Markets'!$E$8:$E$15,MATCH(E23,'Regional Markets'!$B$8:$B$15,0))</f>
        <v>17925.6</v>
      </c>
      <c r="P23" s="80" t="inlineStr">
        <is>
          <t>Delivered</t>
        </is>
      </c>
      <c r="Q23" s="91" t="n">
        <v>46104</v>
      </c>
      <c r="R23" s="76" t="inlineStr">
        <is>
          <t>Deliver to the Osaka fulfilment centre; time-slot booking required.</t>
        </is>
      </c>
    </row>
    <row r="24" ht="34.4" customHeight="1">
      <c r="B24" s="90" t="inlineStr">
        <is>
          <t>SO-26-1057</t>
        </is>
      </c>
      <c r="C24" s="91" t="n">
        <v>46085</v>
      </c>
      <c r="D24" s="76" t="inlineStr">
        <is>
          <t>Coastal Edit Hospitality</t>
        </is>
      </c>
      <c r="E24" s="92" t="inlineStr">
        <is>
          <t>Australia</t>
        </is>
      </c>
      <c r="F24" s="92" t="inlineStr">
        <is>
          <t>Contract / Hospitality</t>
        </is>
      </c>
      <c r="G24" s="92" t="inlineStr">
        <is>
          <t>LL-FUR-301</t>
        </is>
      </c>
      <c r="H24" s="76" t="str">
        <f>IFERROR(INDEX('Product Catalog'!$C$7:$C$22,MATCH(G24,'Product Catalog'!$B$7:$B$22,0)),"")</f>
        <v>Tove Solid Oak Dining Chair</v>
      </c>
      <c r="I24" s="92" t="str">
        <f>IFERROR(INDEX('Product Catalog'!$D$7:$D$22,MATCH(G24,'Product Catalog'!$B$7:$B$22,0)),"")</f>
        <v>Furniture</v>
      </c>
      <c r="J24" s="93" t="n">
        <v>154</v>
      </c>
      <c r="K24" s="80" t="str">
        <f>IFERROR(INDEX('Regional Markets'!$D$8:$D$15,MATCH(E24,'Regional Markets'!$B$8:$B$15,0)),"")</f>
        <v>AUD</v>
      </c>
      <c r="L24" s="94">
        <f>ROUND(INDEX('Product Catalog'!$I$7:$I$22,MATCH(G24,'Product Catalog'!$B$7:$B$22,0))*INDEX('Regional Markets'!$E$8:$E$15,MATCH(E24,'Regional Markets'!$B$8:$B$15,0)),IF(K24="JPY",0,2))</f>
        <v>372.4</v>
      </c>
      <c r="M24" s="79" t="n">
        <v>0.135</v>
      </c>
      <c r="N24" s="94">
        <f>J24*L24*(1-M24)</f>
        <v>49607.404</v>
      </c>
      <c r="O24" s="78">
        <f>N24/INDEX('Regional Markets'!$E$8:$E$15,MATCH(E24,'Regional Markets'!$B$8:$B$15,0))</f>
        <v>32636.45</v>
      </c>
      <c r="P24" s="80" t="inlineStr">
        <is>
          <t>Delivered</t>
        </is>
      </c>
      <c r="Q24" s="91" t="n">
        <v>46132</v>
      </c>
      <c r="R24" s="76" t="inlineStr">
        <is>
          <t>Include a 2% overage of cushion covers and towels for replacements.</t>
        </is>
      </c>
    </row>
    <row r="25" ht="34.4" customHeight="1">
      <c r="B25" s="90" t="inlineStr">
        <is>
          <t>SO-26-1058</t>
        </is>
      </c>
      <c r="C25" s="91" t="n">
        <v>46085</v>
      </c>
      <c r="D25" s="76" t="inlineStr">
        <is>
          <t>Coastal Edit Hospitality</t>
        </is>
      </c>
      <c r="E25" s="92" t="inlineStr">
        <is>
          <t>Australia</t>
        </is>
      </c>
      <c r="F25" s="92" t="inlineStr">
        <is>
          <t>Contract / Hospitality</t>
        </is>
      </c>
      <c r="G25" s="92" t="inlineStr">
        <is>
          <t>LL-LGT-101</t>
        </is>
      </c>
      <c r="H25" s="76" t="str">
        <f>IFERROR(INDEX('Product Catalog'!$C$7:$C$22,MATCH(G25,'Product Catalog'!$B$7:$B$22,0)),"")</f>
        <v>Halden Linen Pendant Lamp</v>
      </c>
      <c r="I25" s="92" t="str">
        <f>IFERROR(INDEX('Product Catalog'!$D$7:$D$22,MATCH(G25,'Product Catalog'!$B$7:$B$22,0)),"")</f>
        <v>Lighting</v>
      </c>
      <c r="J25" s="93" t="n">
        <v>96</v>
      </c>
      <c r="K25" s="80" t="str">
        <f>IFERROR(INDEX('Regional Markets'!$D$8:$D$15,MATCH(E25,'Regional Markets'!$B$8:$B$15,0)),"")</f>
        <v>AUD</v>
      </c>
      <c r="L25" s="94">
        <f>ROUND(INDEX('Product Catalog'!$I$7:$I$22,MATCH(G25,'Product Catalog'!$B$7:$B$22,0))*INDEX('Regional Markets'!$E$8:$E$15,MATCH(E25,'Regional Markets'!$B$8:$B$15,0)),IF(K25="JPY",0,2))</f>
        <v>287.28</v>
      </c>
      <c r="M25" s="79" t="n">
        <v>0.14</v>
      </c>
      <c r="N25" s="94">
        <f>J25*L25*(1-M25)</f>
        <v>23717.8368</v>
      </c>
      <c r="O25" s="78">
        <f>N25/INDEX('Regional Markets'!$E$8:$E$15,MATCH(E25,'Regional Markets'!$B$8:$B$15,0))</f>
        <v>15603.84</v>
      </c>
      <c r="P25" s="80" t="inlineStr">
        <is>
          <t>Delivered</t>
        </is>
      </c>
      <c r="Q25" s="91" t="n">
        <v>46139</v>
      </c>
      <c r="R25" s="76" t="inlineStr">
        <is>
          <t>Resort project: deliver in two phases as advised by the site manager.</t>
        </is>
      </c>
    </row>
    <row r="26" ht="34.4" customHeight="1">
      <c r="B26" s="90" t="inlineStr">
        <is>
          <t>SO-26-1059</t>
        </is>
      </c>
      <c r="C26" s="91" t="n">
        <v>46094</v>
      </c>
      <c r="D26" s="76" t="inlineStr">
        <is>
          <t>Maple Street Interiors</t>
        </is>
      </c>
      <c r="E26" s="92" t="inlineStr">
        <is>
          <t>Canada</t>
        </is>
      </c>
      <c r="F26" s="92" t="inlineStr">
        <is>
          <t>Retail Partner</t>
        </is>
      </c>
      <c r="G26" s="92" t="inlineStr">
        <is>
          <t>LL-TXT-214</t>
        </is>
      </c>
      <c r="H26" s="76" t="str">
        <f>IFERROR(INDEX('Product Catalog'!$C$7:$C$22,MATCH(G26,'Product Catalog'!$B$7:$B$22,0)),"")</f>
        <v>Kesa Organic Cotton Towel Set</v>
      </c>
      <c r="I26" s="92" t="str">
        <f>IFERROR(INDEX('Product Catalog'!$D$7:$D$22,MATCH(G26,'Product Catalog'!$B$7:$B$22,0)),"")</f>
        <v>Textiles</v>
      </c>
      <c r="J26" s="93" t="n">
        <v>168</v>
      </c>
      <c r="K26" s="80" t="str">
        <f>IFERROR(INDEX('Regional Markets'!$D$8:$D$15,MATCH(E26,'Regional Markets'!$B$8:$B$15,0)),"")</f>
        <v>CAD</v>
      </c>
      <c r="L26" s="94">
        <f>ROUND(INDEX('Product Catalog'!$I$7:$I$22,MATCH(G26,'Product Catalog'!$B$7:$B$22,0))*INDEX('Regional Markets'!$E$8:$E$15,MATCH(E26,'Regional Markets'!$B$8:$B$15,0)),IF(K26="JPY",0,2))</f>
        <v>108.23</v>
      </c>
      <c r="M26" s="79" t="n">
        <v>0.065</v>
      </c>
      <c r="N26" s="94">
        <f>J26*L26*(1-M26)</f>
        <v>17000.7684</v>
      </c>
      <c r="O26" s="78">
        <f>N26/INDEX('Regional Markets'!$E$8:$E$15,MATCH(E26,'Regional Markets'!$B$8:$B$15,0))</f>
        <v>12409.32</v>
      </c>
      <c r="P26" s="80" t="inlineStr">
        <is>
          <t>Delivered</t>
        </is>
      </c>
      <c r="Q26" s="91" t="n">
        <v>46120</v>
      </c>
      <c r="R26" s="76" t="inlineStr">
        <is>
          <t>Ship DDP Toronto. Email customs broker documents 72 hours before arrival.</t>
        </is>
      </c>
    </row>
    <row r="27" ht="34.4" customHeight="1">
      <c r="B27" s="90" t="inlineStr">
        <is>
          <t>SO-26-1060</t>
        </is>
      </c>
      <c r="C27" s="91" t="n">
        <v>46097</v>
      </c>
      <c r="D27" s="76" t="inlineStr">
        <is>
          <t>Oakline Hospitality Group</t>
        </is>
      </c>
      <c r="E27" s="92" t="inlineStr">
        <is>
          <t>United States</t>
        </is>
      </c>
      <c r="F27" s="92" t="inlineStr">
        <is>
          <t>Contract / Hospitality</t>
        </is>
      </c>
      <c r="G27" s="92" t="inlineStr">
        <is>
          <t>LL-TXT-214</t>
        </is>
      </c>
      <c r="H27" s="76" t="str">
        <f>IFERROR(INDEX('Product Catalog'!$C$7:$C$22,MATCH(G27,'Product Catalog'!$B$7:$B$22,0)),"")</f>
        <v>Kesa Organic Cotton Towel Set</v>
      </c>
      <c r="I27" s="92" t="str">
        <f>IFERROR(INDEX('Product Catalog'!$D$7:$D$22,MATCH(G27,'Product Catalog'!$B$7:$B$22,0)),"")</f>
        <v>Textiles</v>
      </c>
      <c r="J27" s="93" t="n">
        <v>172</v>
      </c>
      <c r="K27" s="80" t="str">
        <f>IFERROR(INDEX('Regional Markets'!$D$8:$D$15,MATCH(E27,'Regional Markets'!$B$8:$B$15,0)),"")</f>
        <v>USD</v>
      </c>
      <c r="L27" s="94">
        <f>ROUND(INDEX('Product Catalog'!$I$7:$I$22,MATCH(G27,'Product Catalog'!$B$7:$B$22,0))*INDEX('Regional Markets'!$E$8:$E$15,MATCH(E27,'Regional Markets'!$B$8:$B$15,0)),IF(K27="JPY",0,2))</f>
        <v>79</v>
      </c>
      <c r="M27" s="79" t="n">
        <v>0.125</v>
      </c>
      <c r="N27" s="94">
        <f>J27*L27*(1-M27)</f>
        <v>11889.5</v>
      </c>
      <c r="O27" s="78">
        <f>N27/INDEX('Regional Markets'!$E$8:$E$15,MATCH(E27,'Regional Markets'!$B$8:$B$15,0))</f>
        <v>11889.5</v>
      </c>
      <c r="P27" s="80" t="inlineStr">
        <is>
          <t>Delivered</t>
        </is>
      </c>
      <c r="Q27" s="91" t="n">
        <v>46148</v>
      </c>
      <c r="R27" s="76" t="inlineStr">
        <is>
          <t>Deliver to site with a lift-gate truck; the building has no loading dock.</t>
        </is>
      </c>
    </row>
    <row r="28" ht="34.4" customHeight="1">
      <c r="B28" s="90" t="inlineStr">
        <is>
          <t>SO-26-1061</t>
        </is>
      </c>
      <c r="C28" s="91" t="n">
        <v>46097</v>
      </c>
      <c r="D28" s="76" t="inlineStr">
        <is>
          <t>Nestwell Online</t>
        </is>
      </c>
      <c r="E28" s="92" t="inlineStr">
        <is>
          <t>United States</t>
        </is>
      </c>
      <c r="F28" s="92" t="inlineStr">
        <is>
          <t>E-commerce</t>
        </is>
      </c>
      <c r="G28" s="92" t="inlineStr">
        <is>
          <t>LL-DEC-501</t>
        </is>
      </c>
      <c r="H28" s="76" t="str">
        <f>IFERROR(INDEX('Product Catalog'!$C$7:$C$22,MATCH(G28,'Product Catalog'!$B$7:$B$22,0)),"")</f>
        <v>Lumi Recycled Glass Vase</v>
      </c>
      <c r="I28" s="92" t="str">
        <f>IFERROR(INDEX('Product Catalog'!$D$7:$D$22,MATCH(G28,'Product Catalog'!$B$7:$B$22,0)),"")</f>
        <v>Decor &amp; Rugs</v>
      </c>
      <c r="J28" s="93" t="n">
        <v>192</v>
      </c>
      <c r="K28" s="80" t="str">
        <f>IFERROR(INDEX('Regional Markets'!$D$8:$D$15,MATCH(E28,'Regional Markets'!$B$8:$B$15,0)),"")</f>
        <v>USD</v>
      </c>
      <c r="L28" s="94">
        <f>ROUND(INDEX('Product Catalog'!$I$7:$I$22,MATCH(G28,'Product Catalog'!$B$7:$B$22,0))*INDEX('Regional Markets'!$E$8:$E$15,MATCH(E28,'Regional Markets'!$B$8:$B$15,0)),IF(K28="JPY",0,2))</f>
        <v>64</v>
      </c>
      <c r="M28" s="79" t="n">
        <v>0.03</v>
      </c>
      <c r="N28" s="94">
        <f>J28*L28*(1-M28)</f>
        <v>11919.36</v>
      </c>
      <c r="O28" s="78">
        <f>N28/INDEX('Regional Markets'!$E$8:$E$15,MATCH(E28,'Regional Markets'!$B$8:$B$15,0))</f>
        <v>11919.36</v>
      </c>
      <c r="P28" s="80" t="inlineStr">
        <is>
          <t>Delivered</t>
        </is>
      </c>
      <c r="Q28" s="91" t="n">
        <v>46132</v>
      </c>
      <c r="R28" s="76" t="inlineStr">
        <is>
          <t>Drop-ship to end customers. No pricing or invoices inside parcels.</t>
        </is>
      </c>
    </row>
    <row r="29" ht="34.4" customHeight="1">
      <c r="B29" s="90" t="inlineStr">
        <is>
          <t>SO-26-1062</t>
        </is>
      </c>
      <c r="C29" s="91" t="n">
        <v>46101</v>
      </c>
      <c r="D29" s="76" t="inlineStr">
        <is>
          <t>Harbor &amp; Pine Home</t>
        </is>
      </c>
      <c r="E29" s="92" t="inlineStr">
        <is>
          <t>United States</t>
        </is>
      </c>
      <c r="F29" s="92" t="inlineStr">
        <is>
          <t>Retail Partner</t>
        </is>
      </c>
      <c r="G29" s="92" t="inlineStr">
        <is>
          <t>LL-KIT-410</t>
        </is>
      </c>
      <c r="H29" s="76" t="str">
        <f>IFERROR(INDEX('Product Catalog'!$C$7:$C$22,MATCH(G29,'Product Catalog'!$B$7:$B$22,0)),"")</f>
        <v>Rune Acacia Serving Board</v>
      </c>
      <c r="I29" s="92" t="str">
        <f>IFERROR(INDEX('Product Catalog'!$D$7:$D$22,MATCH(G29,'Product Catalog'!$B$7:$B$22,0)),"")</f>
        <v>Kitchen &amp; Dining</v>
      </c>
      <c r="J29" s="93" t="n">
        <v>216</v>
      </c>
      <c r="K29" s="80" t="str">
        <f>IFERROR(INDEX('Regional Markets'!$D$8:$D$15,MATCH(E29,'Regional Markets'!$B$8:$B$15,0)),"")</f>
        <v>USD</v>
      </c>
      <c r="L29" s="94">
        <f>ROUND(INDEX('Product Catalog'!$I$7:$I$22,MATCH(G29,'Product Catalog'!$B$7:$B$22,0))*INDEX('Regional Markets'!$E$8:$E$15,MATCH(E29,'Regional Markets'!$B$8:$B$15,0)),IF(K29="JPY",0,2))</f>
        <v>58</v>
      </c>
      <c r="M29" s="79" t="n">
        <v>0.06</v>
      </c>
      <c r="N29" s="94">
        <f>J29*L29*(1-M29)</f>
        <v>11776.32</v>
      </c>
      <c r="O29" s="78">
        <f>N29/INDEX('Regional Markets'!$E$8:$E$15,MATCH(E29,'Regional Markets'!$B$8:$B$15,0))</f>
        <v>11776.32</v>
      </c>
      <c r="P29" s="80" t="inlineStr">
        <is>
          <t>Delivered</t>
        </is>
      </c>
      <c r="Q29" s="91" t="n">
        <v>46143</v>
      </c>
      <c r="R29" s="76" t="inlineStr">
        <is>
          <t>GS1-128 carton labels required. Do not mix SKUs on a single pallet.</t>
        </is>
      </c>
    </row>
    <row r="30" ht="34.4" customHeight="1">
      <c r="B30" s="90" t="inlineStr">
        <is>
          <t>SO-26-1063</t>
        </is>
      </c>
      <c r="C30" s="91" t="n">
        <v>46104</v>
      </c>
      <c r="D30" s="76" t="inlineStr">
        <is>
          <t>Harbor &amp; Pine Home</t>
        </is>
      </c>
      <c r="E30" s="92" t="inlineStr">
        <is>
          <t>United States</t>
        </is>
      </c>
      <c r="F30" s="92" t="inlineStr">
        <is>
          <t>Retail Partner</t>
        </is>
      </c>
      <c r="G30" s="92" t="inlineStr">
        <is>
          <t>LL-TXT-205</t>
        </is>
      </c>
      <c r="H30" s="76" t="str">
        <f>IFERROR(INDEX('Product Catalog'!$C$7:$C$22,MATCH(G30,'Product Catalog'!$B$7:$B$22,0)),"")</f>
        <v>Fell Merino Wool Throw</v>
      </c>
      <c r="I30" s="92" t="str">
        <f>IFERROR(INDEX('Product Catalog'!$D$7:$D$22,MATCH(G30,'Product Catalog'!$B$7:$B$22,0)),"")</f>
        <v>Textiles</v>
      </c>
      <c r="J30" s="93" t="n">
        <v>84</v>
      </c>
      <c r="K30" s="80" t="str">
        <f>IFERROR(INDEX('Regional Markets'!$D$8:$D$15,MATCH(E30,'Regional Markets'!$B$8:$B$15,0)),"")</f>
        <v>USD</v>
      </c>
      <c r="L30" s="94">
        <f>ROUND(INDEX('Product Catalog'!$I$7:$I$22,MATCH(G30,'Product Catalog'!$B$7:$B$22,0))*INDEX('Regional Markets'!$E$8:$E$15,MATCH(E30,'Regional Markets'!$B$8:$B$15,0)),IF(K30="JPY",0,2))</f>
        <v>129</v>
      </c>
      <c r="M30" s="79" t="n">
        <v>0.04</v>
      </c>
      <c r="N30" s="94">
        <f>J30*L30*(1-M30)</f>
        <v>10402.56</v>
      </c>
      <c r="O30" s="78">
        <f>N30/INDEX('Regional Markets'!$E$8:$E$15,MATCH(E30,'Regional Markets'!$B$8:$B$15,0))</f>
        <v>10402.56</v>
      </c>
      <c r="P30" s="80" t="inlineStr">
        <is>
          <t>Delivered</t>
        </is>
      </c>
      <c r="Q30" s="91" t="n">
        <v>46146</v>
      </c>
      <c r="R30" s="76" t="inlineStr">
        <is>
          <t>GS1-128 carton labels required. Do not mix SKUs on a single pallet.</t>
        </is>
      </c>
    </row>
    <row r="31" ht="34.4" customHeight="1">
      <c r="B31" s="90" t="inlineStr">
        <is>
          <t>SO-26-1064</t>
        </is>
      </c>
      <c r="C31" s="91" t="n">
        <v>46108</v>
      </c>
      <c r="D31" s="76" t="inlineStr">
        <is>
          <t>Galeries Ombre</t>
        </is>
      </c>
      <c r="E31" s="92" t="inlineStr">
        <is>
          <t>France</t>
        </is>
      </c>
      <c r="F31" s="92" t="inlineStr">
        <is>
          <t>Department Store</t>
        </is>
      </c>
      <c r="G31" s="92" t="inlineStr">
        <is>
          <t>LL-KIT-410</t>
        </is>
      </c>
      <c r="H31" s="76" t="str">
        <f>IFERROR(INDEX('Product Catalog'!$C$7:$C$22,MATCH(G31,'Product Catalog'!$B$7:$B$22,0)),"")</f>
        <v>Rune Acacia Serving Board</v>
      </c>
      <c r="I31" s="92" t="str">
        <f>IFERROR(INDEX('Product Catalog'!$D$7:$D$22,MATCH(G31,'Product Catalog'!$B$7:$B$22,0)),"")</f>
        <v>Kitchen &amp; Dining</v>
      </c>
      <c r="J31" s="93" t="n">
        <v>648</v>
      </c>
      <c r="K31" s="80" t="str">
        <f>IFERROR(INDEX('Regional Markets'!$D$8:$D$15,MATCH(E31,'Regional Markets'!$B$8:$B$15,0)),"")</f>
        <v>EUR</v>
      </c>
      <c r="L31" s="94">
        <f>ROUND(INDEX('Product Catalog'!$I$7:$I$22,MATCH(G31,'Product Catalog'!$B$7:$B$22,0))*INDEX('Regional Markets'!$E$8:$E$15,MATCH(E31,'Regional Markets'!$B$8:$B$15,0)),IF(K31="JPY",0,2))</f>
        <v>53.36</v>
      </c>
      <c r="M31" s="79" t="n">
        <v>0.13</v>
      </c>
      <c r="N31" s="94">
        <f>J31*L31*(1-M31)</f>
        <v>30082.2336</v>
      </c>
      <c r="O31" s="78">
        <f>N31/INDEX('Regional Markets'!$E$8:$E$15,MATCH(E31,'Regional Markets'!$B$8:$B$15,0))</f>
        <v>32698.08</v>
      </c>
      <c r="P31" s="80" t="inlineStr">
        <is>
          <t>Delivered</t>
        </is>
      </c>
      <c r="Q31" s="91" t="n">
        <v>46146</v>
      </c>
      <c r="R31" s="76" t="inlineStr">
        <is>
          <t>Retailer quality inspection on arrival (5% sample check).</t>
        </is>
      </c>
    </row>
    <row r="32" ht="34.4" customHeight="1">
      <c r="B32" s="90" t="inlineStr">
        <is>
          <t>SO-26-1065</t>
        </is>
      </c>
      <c r="C32" s="91" t="n">
        <v>46111</v>
      </c>
      <c r="D32" s="76" t="inlineStr">
        <is>
          <t>Harbor &amp; Pine Home</t>
        </is>
      </c>
      <c r="E32" s="92" t="inlineStr">
        <is>
          <t>United States</t>
        </is>
      </c>
      <c r="F32" s="92" t="inlineStr">
        <is>
          <t>Retail Partner</t>
        </is>
      </c>
      <c r="G32" s="92" t="inlineStr">
        <is>
          <t>LL-KIT-410</t>
        </is>
      </c>
      <c r="H32" s="76" t="str">
        <f>IFERROR(INDEX('Product Catalog'!$C$7:$C$22,MATCH(G32,'Product Catalog'!$B$7:$B$22,0)),"")</f>
        <v>Rune Acacia Serving Board</v>
      </c>
      <c r="I32" s="92" t="str">
        <f>IFERROR(INDEX('Product Catalog'!$D$7:$D$22,MATCH(G32,'Product Catalog'!$B$7:$B$22,0)),"")</f>
        <v>Kitchen &amp; Dining</v>
      </c>
      <c r="J32" s="93" t="n">
        <v>600</v>
      </c>
      <c r="K32" s="80" t="str">
        <f>IFERROR(INDEX('Regional Markets'!$D$8:$D$15,MATCH(E32,'Regional Markets'!$B$8:$B$15,0)),"")</f>
        <v>USD</v>
      </c>
      <c r="L32" s="94">
        <f>ROUND(INDEX('Product Catalog'!$I$7:$I$22,MATCH(G32,'Product Catalog'!$B$7:$B$22,0))*INDEX('Regional Markets'!$E$8:$E$15,MATCH(E32,'Regional Markets'!$B$8:$B$15,0)),IF(K32="JPY",0,2))</f>
        <v>58</v>
      </c>
      <c r="M32" s="79" t="n">
        <v>0.04</v>
      </c>
      <c r="N32" s="94">
        <f>J32*L32*(1-M32)</f>
        <v>33408</v>
      </c>
      <c r="O32" s="78">
        <f>N32/INDEX('Regional Markets'!$E$8:$E$15,MATCH(E32,'Regional Markets'!$B$8:$B$15,0))</f>
        <v>33408</v>
      </c>
      <c r="P32" s="80" t="inlineStr">
        <is>
          <t>Delivered</t>
        </is>
      </c>
      <c r="Q32" s="91" t="n">
        <v>46153</v>
      </c>
      <c r="R32" s="76" t="inlineStr">
        <is>
          <t>Deliver to Chicago DC; book a dock appointment at least 48 hours in advance.</t>
        </is>
      </c>
    </row>
    <row r="33" ht="34.4" customHeight="1">
      <c r="B33" s="90" t="inlineStr">
        <is>
          <t>SO-26-1066</t>
        </is>
      </c>
      <c r="C33" s="91" t="n">
        <v>46112</v>
      </c>
      <c r="D33" s="76" t="inlineStr">
        <is>
          <t>Northbay Home Supply</t>
        </is>
      </c>
      <c r="E33" s="92" t="inlineStr">
        <is>
          <t>Canada</t>
        </is>
      </c>
      <c r="F33" s="92" t="inlineStr">
        <is>
          <t>Department Store</t>
        </is>
      </c>
      <c r="G33" s="92" t="inlineStr">
        <is>
          <t>LL-LGT-104</t>
        </is>
      </c>
      <c r="H33" s="76" t="str">
        <f>IFERROR(INDEX('Product Catalog'!$C$7:$C$22,MATCH(G33,'Product Catalog'!$B$7:$B$22,0)),"")</f>
        <v>Sora Ceramic Table Lamp</v>
      </c>
      <c r="I33" s="92" t="str">
        <f>IFERROR(INDEX('Product Catalog'!$D$7:$D$22,MATCH(G33,'Product Catalog'!$B$7:$B$22,0)),"")</f>
        <v>Lighting</v>
      </c>
      <c r="J33" s="93" t="n">
        <v>216</v>
      </c>
      <c r="K33" s="80" t="str">
        <f>IFERROR(INDEX('Regional Markets'!$D$8:$D$15,MATCH(E33,'Regional Markets'!$B$8:$B$15,0)),"")</f>
        <v>CAD</v>
      </c>
      <c r="L33" s="94">
        <f>ROUND(INDEX('Product Catalog'!$I$7:$I$22,MATCH(G33,'Product Catalog'!$B$7:$B$22,0))*INDEX('Regional Markets'!$E$8:$E$15,MATCH(E33,'Regional Markets'!$B$8:$B$15,0)),IF(K33="JPY",0,2))</f>
        <v>204.13</v>
      </c>
      <c r="M33" s="79" t="n">
        <v>0.08</v>
      </c>
      <c r="N33" s="94">
        <f>J33*L33*(1-M33)</f>
        <v>40564.7136</v>
      </c>
      <c r="O33" s="78">
        <f>N33/INDEX('Regional Markets'!$E$8:$E$15,MATCH(E33,'Regional Markets'!$B$8:$B$15,0))</f>
        <v>29609.28</v>
      </c>
      <c r="P33" s="80" t="inlineStr">
        <is>
          <t>Delivered</t>
        </is>
      </c>
      <c r="Q33" s="91" t="n">
        <v>46139</v>
      </c>
      <c r="R33" s="76" t="inlineStr">
        <is>
          <t>Consolidate with other open orders for Northbay where possible.</t>
        </is>
      </c>
    </row>
    <row r="34" ht="34.4" customHeight="1">
      <c r="B34" s="90" t="inlineStr">
        <is>
          <t>SO-26-1067</t>
        </is>
      </c>
      <c r="C34" s="91" t="n">
        <v>46118</v>
      </c>
      <c r="D34" s="76" t="inlineStr">
        <is>
          <t>Wohnhaus Berger GmbH</t>
        </is>
      </c>
      <c r="E34" s="92" t="inlineStr">
        <is>
          <t>Germany</t>
        </is>
      </c>
      <c r="F34" s="92" t="inlineStr">
        <is>
          <t>Retail Partner</t>
        </is>
      </c>
      <c r="G34" s="92" t="inlineStr">
        <is>
          <t>LL-LGT-104</t>
        </is>
      </c>
      <c r="H34" s="76" t="str">
        <f>IFERROR(INDEX('Product Catalog'!$C$7:$C$22,MATCH(G34,'Product Catalog'!$B$7:$B$22,0)),"")</f>
        <v>Sora Ceramic Table Lamp</v>
      </c>
      <c r="I34" s="92" t="str">
        <f>IFERROR(INDEX('Product Catalog'!$D$7:$D$22,MATCH(G34,'Product Catalog'!$B$7:$B$22,0)),"")</f>
        <v>Lighting</v>
      </c>
      <c r="J34" s="93" t="n">
        <v>300</v>
      </c>
      <c r="K34" s="80" t="str">
        <f>IFERROR(INDEX('Regional Markets'!$D$8:$D$15,MATCH(E34,'Regional Markets'!$B$8:$B$15,0)),"")</f>
        <v>EUR</v>
      </c>
      <c r="L34" s="94">
        <f>ROUND(INDEX('Product Catalog'!$I$7:$I$22,MATCH(G34,'Product Catalog'!$B$7:$B$22,0))*INDEX('Regional Markets'!$E$8:$E$15,MATCH(E34,'Regional Markets'!$B$8:$B$15,0)),IF(K34="JPY",0,2))</f>
        <v>137.08</v>
      </c>
      <c r="M34" s="79" t="n">
        <v>0.11</v>
      </c>
      <c r="N34" s="94">
        <f>J34*L34*(1-M34)</f>
        <v>36600.36</v>
      </c>
      <c r="O34" s="78">
        <f>N34/INDEX('Regional Markets'!$E$8:$E$15,MATCH(E34,'Regional Markets'!$B$8:$B$15,0))</f>
        <v>39783</v>
      </c>
      <c r="P34" s="80" t="inlineStr">
        <is>
          <t>Delivered</t>
        </is>
      </c>
      <c r="Q34" s="91" t="n">
        <v>46153</v>
      </c>
      <c r="R34" s="76" t="inlineStr">
        <is>
          <t>Delivery appointment required; maximum pallet height 1.8 m.</t>
        </is>
      </c>
    </row>
    <row r="35" ht="21.2" customHeight="1">
      <c r="B35" s="90" t="inlineStr">
        <is>
          <t>SO-26-1068</t>
        </is>
      </c>
      <c r="C35" s="91" t="n">
        <v>46118</v>
      </c>
      <c r="D35" s="76" t="inlineStr">
        <is>
          <t>Maison Vérane</t>
        </is>
      </c>
      <c r="E35" s="92" t="inlineStr">
        <is>
          <t>France</t>
        </is>
      </c>
      <c r="F35" s="92" t="inlineStr">
        <is>
          <t>Retail Partner</t>
        </is>
      </c>
      <c r="G35" s="92" t="inlineStr">
        <is>
          <t>LL-FUR-301</t>
        </is>
      </c>
      <c r="H35" s="76" t="str">
        <f>IFERROR(INDEX('Product Catalog'!$C$7:$C$22,MATCH(G35,'Product Catalog'!$B$7:$B$22,0)),"")</f>
        <v>Tove Solid Oak Dining Chair</v>
      </c>
      <c r="I35" s="92" t="str">
        <f>IFERROR(INDEX('Product Catalog'!$D$7:$D$22,MATCH(G35,'Product Catalog'!$B$7:$B$22,0)),"")</f>
        <v>Furniture</v>
      </c>
      <c r="J35" s="93" t="n">
        <v>96</v>
      </c>
      <c r="K35" s="80" t="str">
        <f>IFERROR(INDEX('Regional Markets'!$D$8:$D$15,MATCH(E35,'Regional Markets'!$B$8:$B$15,0)),"")</f>
        <v>EUR</v>
      </c>
      <c r="L35" s="94">
        <f>ROUND(INDEX('Product Catalog'!$I$7:$I$22,MATCH(G35,'Product Catalog'!$B$7:$B$22,0))*INDEX('Regional Markets'!$E$8:$E$15,MATCH(E35,'Regional Markets'!$B$8:$B$15,0)),IF(K35="JPY",0,2))</f>
        <v>225.4</v>
      </c>
      <c r="M35" s="79" t="n">
        <v>0.06</v>
      </c>
      <c r="N35" s="94">
        <f>J35*L35*(1-M35)</f>
        <v>20340.096</v>
      </c>
      <c r="O35" s="78">
        <f>N35/INDEX('Regional Markets'!$E$8:$E$15,MATCH(E35,'Regional Markets'!$B$8:$B$15,0))</f>
        <v>22108.8</v>
      </c>
      <c r="P35" s="80" t="inlineStr">
        <is>
          <t>Delivered</t>
        </is>
      </c>
      <c r="Q35" s="91" t="n">
        <v>46150</v>
      </c>
      <c r="R35" s="76" t="inlineStr">
        <is>
          <t>Deliveries accepted before 11:00 only.</t>
        </is>
      </c>
    </row>
    <row r="36" ht="34.4" customHeight="1">
      <c r="B36" s="90" t="inlineStr">
        <is>
          <t>SO-26-1069</t>
        </is>
      </c>
      <c r="C36" s="91" t="n">
        <v>46127</v>
      </c>
      <c r="D36" s="76" t="inlineStr">
        <is>
          <t>Hinoki Living</t>
        </is>
      </c>
      <c r="E36" s="92" t="inlineStr">
        <is>
          <t>Japan</t>
        </is>
      </c>
      <c r="F36" s="92" t="inlineStr">
        <is>
          <t>E-commerce</t>
        </is>
      </c>
      <c r="G36" s="92" t="inlineStr">
        <is>
          <t>LL-KIT-406</t>
        </is>
      </c>
      <c r="H36" s="76" t="str">
        <f>IFERROR(INDEX('Product Catalog'!$C$7:$C$22,MATCH(G36,'Product Catalog'!$B$7:$B$22,0)),"")</f>
        <v>Aska Enamelled Cast Iron Casserole</v>
      </c>
      <c r="I36" s="92" t="str">
        <f>IFERROR(INDEX('Product Catalog'!$D$7:$D$22,MATCH(G36,'Product Catalog'!$B$7:$B$22,0)),"")</f>
        <v>Kitchen &amp; Dining</v>
      </c>
      <c r="J36" s="93" t="n">
        <v>56</v>
      </c>
      <c r="K36" s="80" t="str">
        <f>IFERROR(INDEX('Regional Markets'!$D$8:$D$15,MATCH(E36,'Regional Markets'!$B$8:$B$15,0)),"")</f>
        <v>JPY</v>
      </c>
      <c r="L36" s="94">
        <f>ROUND(INDEX('Product Catalog'!$I$7:$I$22,MATCH(G36,'Product Catalog'!$B$7:$B$22,0))*INDEX('Regional Markets'!$E$8:$E$15,MATCH(E36,'Regional Markets'!$B$8:$B$15,0)),IF(K36="JPY",0,2))</f>
        <v>31080</v>
      </c>
      <c r="M36" s="79" t="n">
        <v>0.045</v>
      </c>
      <c r="N36" s="94">
        <f>J36*L36*(1-M36)</f>
        <v>1662158.4</v>
      </c>
      <c r="O36" s="78">
        <f>N36/INDEX('Regional Markets'!$E$8:$E$15,MATCH(E36,'Regional Markets'!$B$8:$B$15,0))</f>
        <v>11230.8</v>
      </c>
      <c r="P36" s="80" t="inlineStr">
        <is>
          <t>Delivered</t>
        </is>
      </c>
      <c r="Q36" s="91" t="n">
        <v>46167</v>
      </c>
      <c r="R36" s="76" t="inlineStr">
        <is>
          <t>Gift-wrap 20% of units; wrapping materials are supplied by the customer.</t>
        </is>
      </c>
    </row>
    <row r="37" ht="34.4" customHeight="1">
      <c r="B37" s="90" t="inlineStr">
        <is>
          <t>SO-26-1070</t>
        </is>
      </c>
      <c r="C37" s="91" t="n">
        <v>46132</v>
      </c>
      <c r="D37" s="76" t="inlineStr">
        <is>
          <t>Westfield Living Co.</t>
        </is>
      </c>
      <c r="E37" s="92" t="inlineStr">
        <is>
          <t>United States</t>
        </is>
      </c>
      <c r="F37" s="92" t="inlineStr">
        <is>
          <t>Department Store</t>
        </is>
      </c>
      <c r="G37" s="92" t="inlineStr">
        <is>
          <t>LL-KIT-406</t>
        </is>
      </c>
      <c r="H37" s="76" t="str">
        <f>IFERROR(INDEX('Product Catalog'!$C$7:$C$22,MATCH(G37,'Product Catalog'!$B$7:$B$22,0)),"")</f>
        <v>Aska Enamelled Cast Iron Casserole</v>
      </c>
      <c r="I37" s="92" t="str">
        <f>IFERROR(INDEX('Product Catalog'!$D$7:$D$22,MATCH(G37,'Product Catalog'!$B$7:$B$22,0)),"")</f>
        <v>Kitchen &amp; Dining</v>
      </c>
      <c r="J37" s="93" t="n">
        <v>44</v>
      </c>
      <c r="K37" s="80" t="str">
        <f>IFERROR(INDEX('Regional Markets'!$D$8:$D$15,MATCH(E37,'Regional Markets'!$B$8:$B$15,0)),"")</f>
        <v>USD</v>
      </c>
      <c r="L37" s="94">
        <f>ROUND(INDEX('Product Catalog'!$I$7:$I$22,MATCH(G37,'Product Catalog'!$B$7:$B$22,0))*INDEX('Regional Markets'!$E$8:$E$15,MATCH(E37,'Regional Markets'!$B$8:$B$15,0)),IF(K37="JPY",0,2))</f>
        <v>210</v>
      </c>
      <c r="M37" s="79" t="n">
        <v>0.095</v>
      </c>
      <c r="N37" s="94">
        <f>J37*L37*(1-M37)</f>
        <v>8362.2</v>
      </c>
      <c r="O37" s="78">
        <f>N37/INDEX('Regional Markets'!$E$8:$E$15,MATCH(E37,'Regional Markets'!$B$8:$B$15,0))</f>
        <v>8362.2</v>
      </c>
      <c r="P37" s="80" t="inlineStr">
        <is>
          <t>Delivered</t>
        </is>
      </c>
      <c r="Q37" s="91" t="n">
        <v>46167</v>
      </c>
      <c r="R37" s="76" t="inlineStr">
        <is>
          <t>EDI 856 advance ship notice must be transmitted before dispatch.</t>
        </is>
      </c>
    </row>
    <row r="38" ht="47.6" customHeight="1">
      <c r="B38" s="90" t="inlineStr">
        <is>
          <t>SO-26-1071</t>
        </is>
      </c>
      <c r="C38" s="91" t="n">
        <v>46132</v>
      </c>
      <c r="D38" s="76" t="inlineStr">
        <is>
          <t>Oakline Hospitality Group</t>
        </is>
      </c>
      <c r="E38" s="92" t="inlineStr">
        <is>
          <t>United States</t>
        </is>
      </c>
      <c r="F38" s="92" t="inlineStr">
        <is>
          <t>Contract / Hospitality</t>
        </is>
      </c>
      <c r="G38" s="92" t="inlineStr">
        <is>
          <t>LL-DEC-507</t>
        </is>
      </c>
      <c r="H38" s="76" t="str">
        <f>IFERROR(INDEX('Product Catalog'!$C$7:$C$22,MATCH(G38,'Product Catalog'!$B$7:$B$22,0)),"")</f>
        <v>Tarn Wool Area Rug</v>
      </c>
      <c r="I38" s="92" t="str">
        <f>IFERROR(INDEX('Product Catalog'!$D$7:$D$22,MATCH(G38,'Product Catalog'!$B$7:$B$22,0)),"")</f>
        <v>Decor &amp; Rugs</v>
      </c>
      <c r="J38" s="93" t="n">
        <v>44</v>
      </c>
      <c r="K38" s="80" t="str">
        <f>IFERROR(INDEX('Regional Markets'!$D$8:$D$15,MATCH(E38,'Regional Markets'!$B$8:$B$15,0)),"")</f>
        <v>USD</v>
      </c>
      <c r="L38" s="94">
        <f>ROUND(INDEX('Product Catalog'!$I$7:$I$22,MATCH(G38,'Product Catalog'!$B$7:$B$22,0))*INDEX('Regional Markets'!$E$8:$E$15,MATCH(E38,'Regional Markets'!$B$8:$B$15,0)),IF(K38="JPY",0,2))</f>
        <v>540</v>
      </c>
      <c r="M38" s="79" t="n">
        <v>0.175</v>
      </c>
      <c r="N38" s="94">
        <f>J38*L38*(1-M38)</f>
        <v>19602</v>
      </c>
      <c r="O38" s="78">
        <f>N38/INDEX('Regional Markets'!$E$8:$E$15,MATCH(E38,'Regional Markets'!$B$8:$B$15,0))</f>
        <v>19602</v>
      </c>
      <c r="P38" s="80" t="inlineStr">
        <is>
          <t>Delivered</t>
        </is>
      </c>
      <c r="Q38" s="91" t="n">
        <v>46162</v>
      </c>
      <c r="R38" s="76" t="inlineStr">
        <is>
          <t>Hotel fit-out: all items must arrive before the installation window starts on the ship-by date.</t>
        </is>
      </c>
    </row>
    <row r="39" ht="34.4" customHeight="1">
      <c r="B39" s="90" t="inlineStr">
        <is>
          <t>SO-26-1072</t>
        </is>
      </c>
      <c r="C39" s="91" t="n">
        <v>46135</v>
      </c>
      <c r="D39" s="76" t="inlineStr">
        <is>
          <t>Harbor &amp; Pine Home</t>
        </is>
      </c>
      <c r="E39" s="92" t="inlineStr">
        <is>
          <t>United States</t>
        </is>
      </c>
      <c r="F39" s="92" t="inlineStr">
        <is>
          <t>Retail Partner</t>
        </is>
      </c>
      <c r="G39" s="92" t="inlineStr">
        <is>
          <t>LL-TXT-214</t>
        </is>
      </c>
      <c r="H39" s="76" t="str">
        <f>IFERROR(INDEX('Product Catalog'!$C$7:$C$22,MATCH(G39,'Product Catalog'!$B$7:$B$22,0)),"")</f>
        <v>Kesa Organic Cotton Towel Set</v>
      </c>
      <c r="I39" s="92" t="str">
        <f>IFERROR(INDEX('Product Catalog'!$D$7:$D$22,MATCH(G39,'Product Catalog'!$B$7:$B$22,0)),"")</f>
        <v>Textiles</v>
      </c>
      <c r="J39" s="93" t="n">
        <v>144</v>
      </c>
      <c r="K39" s="80" t="str">
        <f>IFERROR(INDEX('Regional Markets'!$D$8:$D$15,MATCH(E39,'Regional Markets'!$B$8:$B$15,0)),"")</f>
        <v>USD</v>
      </c>
      <c r="L39" s="94">
        <f>ROUND(INDEX('Product Catalog'!$I$7:$I$22,MATCH(G39,'Product Catalog'!$B$7:$B$22,0))*INDEX('Regional Markets'!$E$8:$E$15,MATCH(E39,'Regional Markets'!$B$8:$B$15,0)),IF(K39="JPY",0,2))</f>
        <v>79</v>
      </c>
      <c r="M39" s="79" t="n">
        <v>0.095</v>
      </c>
      <c r="N39" s="94">
        <f>J39*L39*(1-M39)</f>
        <v>10295.28</v>
      </c>
      <c r="O39" s="78">
        <f>N39/INDEX('Regional Markets'!$E$8:$E$15,MATCH(E39,'Regional Markets'!$B$8:$B$15,0))</f>
        <v>10295.28</v>
      </c>
      <c r="P39" s="80" t="inlineStr">
        <is>
          <t>Delivered</t>
        </is>
      </c>
      <c r="Q39" s="91" t="n">
        <v>46164</v>
      </c>
      <c r="R39" s="76" t="inlineStr">
        <is>
          <t>GS1-128 carton labels required. Do not mix SKUs on a single pallet.</t>
        </is>
      </c>
    </row>
    <row r="40" ht="34.4" customHeight="1">
      <c r="B40" s="90" t="inlineStr">
        <is>
          <t>SO-26-1073</t>
        </is>
      </c>
      <c r="C40" s="91" t="n">
        <v>46135</v>
      </c>
      <c r="D40" s="76" t="inlineStr">
        <is>
          <t>Ashcombe &amp; Reed</t>
        </is>
      </c>
      <c r="E40" s="92" t="inlineStr">
        <is>
          <t>United Kingdom</t>
        </is>
      </c>
      <c r="F40" s="92" t="inlineStr">
        <is>
          <t>Department Store</t>
        </is>
      </c>
      <c r="G40" s="92" t="inlineStr">
        <is>
          <t>LL-DEC-507</t>
        </is>
      </c>
      <c r="H40" s="76" t="str">
        <f>IFERROR(INDEX('Product Catalog'!$C$7:$C$22,MATCH(G40,'Product Catalog'!$B$7:$B$22,0)),"")</f>
        <v>Tarn Wool Area Rug</v>
      </c>
      <c r="I40" s="92" t="str">
        <f>IFERROR(INDEX('Product Catalog'!$D$7:$D$22,MATCH(G40,'Product Catalog'!$B$7:$B$22,0)),"")</f>
        <v>Decor &amp; Rugs</v>
      </c>
      <c r="J40" s="93" t="n">
        <v>60</v>
      </c>
      <c r="K40" s="80" t="str">
        <f>IFERROR(INDEX('Regional Markets'!$D$8:$D$15,MATCH(E40,'Regional Markets'!$B$8:$B$15,0)),"")</f>
        <v>GBP</v>
      </c>
      <c r="L40" s="94">
        <f>ROUND(INDEX('Product Catalog'!$I$7:$I$22,MATCH(G40,'Product Catalog'!$B$7:$B$22,0))*INDEX('Regional Markets'!$E$8:$E$15,MATCH(E40,'Regional Markets'!$B$8:$B$15,0)),IF(K40="JPY",0,2))</f>
        <v>421.2</v>
      </c>
      <c r="M40" s="79" t="n">
        <v>0.1</v>
      </c>
      <c r="N40" s="94">
        <f>J40*L40*(1-M40)</f>
        <v>22744.8</v>
      </c>
      <c r="O40" s="78">
        <f>N40/INDEX('Regional Markets'!$E$8:$E$15,MATCH(E40,'Regional Markets'!$B$8:$B$15,0))</f>
        <v>29160</v>
      </c>
      <c r="P40" s="80" t="inlineStr">
        <is>
          <t>Delivered</t>
        </is>
      </c>
      <c r="Q40" s="91" t="n">
        <v>46167</v>
      </c>
      <c r="R40" s="76" t="inlineStr">
        <is>
          <t>Deliver to Milton Keynes DC; ASN required 24 hours before arrival.</t>
        </is>
      </c>
    </row>
    <row r="41" ht="34.4" customHeight="1">
      <c r="B41" s="90" t="inlineStr">
        <is>
          <t>SO-26-1074</t>
        </is>
      </c>
      <c r="C41" s="91" t="n">
        <v>46136</v>
      </c>
      <c r="D41" s="76" t="inlineStr">
        <is>
          <t>Wohnhaus Berger GmbH</t>
        </is>
      </c>
      <c r="E41" s="92" t="inlineStr">
        <is>
          <t>Germany</t>
        </is>
      </c>
      <c r="F41" s="92" t="inlineStr">
        <is>
          <t>Retail Partner</t>
        </is>
      </c>
      <c r="G41" s="92" t="inlineStr">
        <is>
          <t>LL-LGT-104</t>
        </is>
      </c>
      <c r="H41" s="76" t="str">
        <f>IFERROR(INDEX('Product Catalog'!$C$7:$C$22,MATCH(G41,'Product Catalog'!$B$7:$B$22,0)),"")</f>
        <v>Sora Ceramic Table Lamp</v>
      </c>
      <c r="I41" s="92" t="str">
        <f>IFERROR(INDEX('Product Catalog'!$D$7:$D$22,MATCH(G41,'Product Catalog'!$B$7:$B$22,0)),"")</f>
        <v>Lighting</v>
      </c>
      <c r="J41" s="93" t="n">
        <v>84</v>
      </c>
      <c r="K41" s="80" t="str">
        <f>IFERROR(INDEX('Regional Markets'!$D$8:$D$15,MATCH(E41,'Regional Markets'!$B$8:$B$15,0)),"")</f>
        <v>EUR</v>
      </c>
      <c r="L41" s="94">
        <f>ROUND(INDEX('Product Catalog'!$I$7:$I$22,MATCH(G41,'Product Catalog'!$B$7:$B$22,0))*INDEX('Regional Markets'!$E$8:$E$15,MATCH(E41,'Regional Markets'!$B$8:$B$15,0)),IF(K41="JPY",0,2))</f>
        <v>137.08</v>
      </c>
      <c r="M41" s="79" t="n">
        <v>0.065</v>
      </c>
      <c r="N41" s="94">
        <f>J41*L41*(1-M41)</f>
        <v>10766.2632</v>
      </c>
      <c r="O41" s="78">
        <f>N41/INDEX('Regional Markets'!$E$8:$E$15,MATCH(E41,'Regional Markets'!$B$8:$B$15,0))</f>
        <v>11702.46</v>
      </c>
      <c r="P41" s="80" t="inlineStr">
        <is>
          <t>Delivered</t>
        </is>
      </c>
      <c r="Q41" s="91" t="n">
        <v>46170</v>
      </c>
      <c r="R41" s="76" t="inlineStr">
        <is>
          <t>Delivery appointment required; maximum pallet height 1.8 m.</t>
        </is>
      </c>
    </row>
    <row r="42" ht="34.4" customHeight="1">
      <c r="B42" s="90" t="inlineStr">
        <is>
          <t>SO-26-1075</t>
        </is>
      </c>
      <c r="C42" s="91" t="n">
        <v>46139</v>
      </c>
      <c r="D42" s="76" t="inlineStr">
        <is>
          <t>Northbay Home Supply</t>
        </is>
      </c>
      <c r="E42" s="92" t="inlineStr">
        <is>
          <t>Canada</t>
        </is>
      </c>
      <c r="F42" s="92" t="inlineStr">
        <is>
          <t>Department Store</t>
        </is>
      </c>
      <c r="G42" s="92" t="inlineStr">
        <is>
          <t>LL-DEC-507</t>
        </is>
      </c>
      <c r="H42" s="76" t="str">
        <f>IFERROR(INDEX('Product Catalog'!$C$7:$C$22,MATCH(G42,'Product Catalog'!$B$7:$B$22,0)),"")</f>
        <v>Tarn Wool Area Rug</v>
      </c>
      <c r="I42" s="92" t="str">
        <f>IFERROR(INDEX('Product Catalog'!$D$7:$D$22,MATCH(G42,'Product Catalog'!$B$7:$B$22,0)),"")</f>
        <v>Decor &amp; Rugs</v>
      </c>
      <c r="J42" s="93" t="n">
        <v>44</v>
      </c>
      <c r="K42" s="80" t="str">
        <f>IFERROR(INDEX('Regional Markets'!$D$8:$D$15,MATCH(E42,'Regional Markets'!$B$8:$B$15,0)),"")</f>
        <v>CAD</v>
      </c>
      <c r="L42" s="94">
        <f>ROUND(INDEX('Product Catalog'!$I$7:$I$22,MATCH(G42,'Product Catalog'!$B$7:$B$22,0))*INDEX('Regional Markets'!$E$8:$E$15,MATCH(E42,'Regional Markets'!$B$8:$B$15,0)),IF(K42="JPY",0,2))</f>
        <v>739.8</v>
      </c>
      <c r="M42" s="79" t="n">
        <v>0.125</v>
      </c>
      <c r="N42" s="94">
        <f>J42*L42*(1-M42)</f>
        <v>28482.3</v>
      </c>
      <c r="O42" s="78">
        <f>N42/INDEX('Regional Markets'!$E$8:$E$15,MATCH(E42,'Regional Markets'!$B$8:$B$15,0))</f>
        <v>20790</v>
      </c>
      <c r="P42" s="80" t="inlineStr">
        <is>
          <t>Delivered</t>
        </is>
      </c>
      <c r="Q42" s="91" t="n">
        <v>46174</v>
      </c>
      <c r="R42" s="76" t="inlineStr">
        <is>
          <t>Receiving by appointment only, Monday to Thursday.</t>
        </is>
      </c>
    </row>
    <row r="43" ht="34.4" customHeight="1">
      <c r="B43" s="90" t="inlineStr">
        <is>
          <t>SO-26-1076</t>
        </is>
      </c>
      <c r="C43" s="91" t="n">
        <v>46139</v>
      </c>
      <c r="D43" s="76" t="inlineStr">
        <is>
          <t>Maple Street Interiors</t>
        </is>
      </c>
      <c r="E43" s="92" t="inlineStr">
        <is>
          <t>Canada</t>
        </is>
      </c>
      <c r="F43" s="92" t="inlineStr">
        <is>
          <t>Retail Partner</t>
        </is>
      </c>
      <c r="G43" s="92" t="inlineStr">
        <is>
          <t>LL-LGT-104</t>
        </is>
      </c>
      <c r="H43" s="76" t="str">
        <f>IFERROR(INDEX('Product Catalog'!$C$7:$C$22,MATCH(G43,'Product Catalog'!$B$7:$B$22,0)),"")</f>
        <v>Sora Ceramic Table Lamp</v>
      </c>
      <c r="I43" s="92" t="str">
        <f>IFERROR(INDEX('Product Catalog'!$D$7:$D$22,MATCH(G43,'Product Catalog'!$B$7:$B$22,0)),"")</f>
        <v>Lighting</v>
      </c>
      <c r="J43" s="93" t="n">
        <v>300</v>
      </c>
      <c r="K43" s="80" t="str">
        <f>IFERROR(INDEX('Regional Markets'!$D$8:$D$15,MATCH(E43,'Regional Markets'!$B$8:$B$15,0)),"")</f>
        <v>CAD</v>
      </c>
      <c r="L43" s="94">
        <f>ROUND(INDEX('Product Catalog'!$I$7:$I$22,MATCH(G43,'Product Catalog'!$B$7:$B$22,0))*INDEX('Regional Markets'!$E$8:$E$15,MATCH(E43,'Regional Markets'!$B$8:$B$15,0)),IF(K43="JPY",0,2))</f>
        <v>204.13</v>
      </c>
      <c r="M43" s="79" t="n">
        <v>0.095</v>
      </c>
      <c r="N43" s="94">
        <f>J43*L43*(1-M43)</f>
        <v>55421.295</v>
      </c>
      <c r="O43" s="78">
        <f>N43/INDEX('Regional Markets'!$E$8:$E$15,MATCH(E43,'Regional Markets'!$B$8:$B$15,0))</f>
        <v>40453.5</v>
      </c>
      <c r="P43" s="80" t="inlineStr">
        <is>
          <t>Delivered</t>
        </is>
      </c>
      <c r="Q43" s="91" t="n">
        <v>46181</v>
      </c>
      <c r="R43" s="76" t="inlineStr">
        <is>
          <t>Bilingual English/French labels required on every retail box.</t>
        </is>
      </c>
    </row>
    <row r="44" ht="47.6" customHeight="1">
      <c r="B44" s="90" t="inlineStr">
        <is>
          <t>SO-26-1077</t>
        </is>
      </c>
      <c r="C44" s="91" t="n">
        <v>46143</v>
      </c>
      <c r="D44" s="76" t="inlineStr">
        <is>
          <t>Kurashi Select</t>
        </is>
      </c>
      <c r="E44" s="92" t="inlineStr">
        <is>
          <t>Japan</t>
        </is>
      </c>
      <c r="F44" s="92" t="inlineStr">
        <is>
          <t>Retail Partner</t>
        </is>
      </c>
      <c r="G44" s="92" t="inlineStr">
        <is>
          <t>LL-TXT-205</t>
        </is>
      </c>
      <c r="H44" s="76" t="str">
        <f>IFERROR(INDEX('Product Catalog'!$C$7:$C$22,MATCH(G44,'Product Catalog'!$B$7:$B$22,0)),"")</f>
        <v>Fell Merino Wool Throw</v>
      </c>
      <c r="I44" s="92" t="str">
        <f>IFERROR(INDEX('Product Catalog'!$D$7:$D$22,MATCH(G44,'Product Catalog'!$B$7:$B$22,0)),"")</f>
        <v>Textiles</v>
      </c>
      <c r="J44" s="93" t="n">
        <v>216</v>
      </c>
      <c r="K44" s="80" t="str">
        <f>IFERROR(INDEX('Regional Markets'!$D$8:$D$15,MATCH(E44,'Regional Markets'!$B$8:$B$15,0)),"")</f>
        <v>JPY</v>
      </c>
      <c r="L44" s="94">
        <f>ROUND(INDEX('Product Catalog'!$I$7:$I$22,MATCH(G44,'Product Catalog'!$B$7:$B$22,0))*INDEX('Regional Markets'!$E$8:$E$15,MATCH(E44,'Regional Markets'!$B$8:$B$15,0)),IF(K44="JPY",0,2))</f>
        <v>19092</v>
      </c>
      <c r="M44" s="79" t="n">
        <v>0.09</v>
      </c>
      <c r="N44" s="94">
        <f>J44*L44*(1-M44)</f>
        <v>3752723.52</v>
      </c>
      <c r="O44" s="78">
        <f>N44/INDEX('Regional Markets'!$E$8:$E$15,MATCH(E44,'Regional Markets'!$B$8:$B$15,0))</f>
        <v>25356.24</v>
      </c>
      <c r="P44" s="80" t="inlineStr">
        <is>
          <t>Delivered</t>
        </is>
      </c>
      <c r="Q44" s="91" t="n">
        <v>46181</v>
      </c>
      <c r="R44" s="76" t="inlineStr">
        <is>
          <t>Japanese care card inside each package. Packaging must arrive free of dents and scuffs.</t>
        </is>
      </c>
    </row>
    <row r="45" ht="21.2" customHeight="1">
      <c r="B45" s="90" t="inlineStr">
        <is>
          <t>SO-26-1078</t>
        </is>
      </c>
      <c r="C45" s="91" t="n">
        <v>46143</v>
      </c>
      <c r="D45" s="76" t="inlineStr">
        <is>
          <t>Galeries Ombre</t>
        </is>
      </c>
      <c r="E45" s="92" t="inlineStr">
        <is>
          <t>France</t>
        </is>
      </c>
      <c r="F45" s="92" t="inlineStr">
        <is>
          <t>Department Store</t>
        </is>
      </c>
      <c r="G45" s="92" t="inlineStr">
        <is>
          <t>LL-TXT-205</t>
        </is>
      </c>
      <c r="H45" s="76" t="str">
        <f>IFERROR(INDEX('Product Catalog'!$C$7:$C$22,MATCH(G45,'Product Catalog'!$B$7:$B$22,0)),"")</f>
        <v>Fell Merino Wool Throw</v>
      </c>
      <c r="I45" s="92" t="str">
        <f>IFERROR(INDEX('Product Catalog'!$D$7:$D$22,MATCH(G45,'Product Catalog'!$B$7:$B$22,0)),"")</f>
        <v>Textiles</v>
      </c>
      <c r="J45" s="93" t="n">
        <v>252</v>
      </c>
      <c r="K45" s="80" t="str">
        <f>IFERROR(INDEX('Regional Markets'!$D$8:$D$15,MATCH(E45,'Regional Markets'!$B$8:$B$15,0)),"")</f>
        <v>EUR</v>
      </c>
      <c r="L45" s="94">
        <f>ROUND(INDEX('Product Catalog'!$I$7:$I$22,MATCH(G45,'Product Catalog'!$B$7:$B$22,0))*INDEX('Regional Markets'!$E$8:$E$15,MATCH(E45,'Regional Markets'!$B$8:$B$15,0)),IF(K45="JPY",0,2))</f>
        <v>118.68</v>
      </c>
      <c r="M45" s="79" t="n">
        <v>0.105</v>
      </c>
      <c r="N45" s="94">
        <f>J45*L45*(1-M45)</f>
        <v>26767.0872</v>
      </c>
      <c r="O45" s="78">
        <f>N45/INDEX('Regional Markets'!$E$8:$E$15,MATCH(E45,'Regional Markets'!$B$8:$B$15,0))</f>
        <v>29094.66</v>
      </c>
      <c r="P45" s="80" t="inlineStr">
        <is>
          <t>Delivered</t>
        </is>
      </c>
      <c r="Q45" s="91" t="n">
        <v>46183</v>
      </c>
      <c r="R45" s="76" t="inlineStr">
        <is>
          <t>Standard terms; no special handling.</t>
        </is>
      </c>
    </row>
    <row r="46" ht="34.4" customHeight="1">
      <c r="B46" s="90" t="inlineStr">
        <is>
          <t>SO-26-1079</t>
        </is>
      </c>
      <c r="C46" s="91" t="n">
        <v>46143</v>
      </c>
      <c r="D46" s="76" t="inlineStr">
        <is>
          <t>Kurashi Select</t>
        </is>
      </c>
      <c r="E46" s="92" t="inlineStr">
        <is>
          <t>Japan</t>
        </is>
      </c>
      <c r="F46" s="92" t="inlineStr">
        <is>
          <t>Retail Partner</t>
        </is>
      </c>
      <c r="G46" s="92" t="inlineStr">
        <is>
          <t>LL-KIT-410</t>
        </is>
      </c>
      <c r="H46" s="76" t="str">
        <f>IFERROR(INDEX('Product Catalog'!$C$7:$C$22,MATCH(G46,'Product Catalog'!$B$7:$B$22,0)),"")</f>
        <v>Rune Acacia Serving Board</v>
      </c>
      <c r="I46" s="92" t="str">
        <f>IFERROR(INDEX('Product Catalog'!$D$7:$D$22,MATCH(G46,'Product Catalog'!$B$7:$B$22,0)),"")</f>
        <v>Kitchen &amp; Dining</v>
      </c>
      <c r="J46" s="93" t="n">
        <v>384</v>
      </c>
      <c r="K46" s="80" t="str">
        <f>IFERROR(INDEX('Regional Markets'!$D$8:$D$15,MATCH(E46,'Regional Markets'!$B$8:$B$15,0)),"")</f>
        <v>JPY</v>
      </c>
      <c r="L46" s="94">
        <f>ROUND(INDEX('Product Catalog'!$I$7:$I$22,MATCH(G46,'Product Catalog'!$B$7:$B$22,0))*INDEX('Regional Markets'!$E$8:$E$15,MATCH(E46,'Regional Markets'!$B$8:$B$15,0)),IF(K46="JPY",0,2))</f>
        <v>8584</v>
      </c>
      <c r="M46" s="79" t="n">
        <v>0.105</v>
      </c>
      <c r="N46" s="94">
        <f>J46*L46*(1-M46)</f>
        <v>2950149.12</v>
      </c>
      <c r="O46" s="78">
        <f>N46/INDEX('Regional Markets'!$E$8:$E$15,MATCH(E46,'Regional Markets'!$B$8:$B$15,0))</f>
        <v>19933.44</v>
      </c>
      <c r="P46" s="80" t="inlineStr">
        <is>
          <t>Delivered</t>
        </is>
      </c>
      <c r="Q46" s="91" t="n">
        <v>46185</v>
      </c>
      <c r="R46" s="76" t="inlineStr">
        <is>
          <t>PSE marks must be visible on lamps and on outer cartons.</t>
        </is>
      </c>
    </row>
    <row r="47" ht="34.4" customHeight="1">
      <c r="B47" s="90" t="inlineStr">
        <is>
          <t>SO-26-1080</t>
        </is>
      </c>
      <c r="C47" s="91" t="n">
        <v>46146</v>
      </c>
      <c r="D47" s="76" t="inlineStr">
        <is>
          <t>Maple Street Interiors</t>
        </is>
      </c>
      <c r="E47" s="92" t="inlineStr">
        <is>
          <t>Canada</t>
        </is>
      </c>
      <c r="F47" s="92" t="inlineStr">
        <is>
          <t>Retail Partner</t>
        </is>
      </c>
      <c r="G47" s="92" t="inlineStr">
        <is>
          <t>LL-TXT-214</t>
        </is>
      </c>
      <c r="H47" s="76" t="str">
        <f>IFERROR(INDEX('Product Catalog'!$C$7:$C$22,MATCH(G47,'Product Catalog'!$B$7:$B$22,0)),"")</f>
        <v>Kesa Organic Cotton Towel Set</v>
      </c>
      <c r="I47" s="92" t="str">
        <f>IFERROR(INDEX('Product Catalog'!$D$7:$D$22,MATCH(G47,'Product Catalog'!$B$7:$B$22,0)),"")</f>
        <v>Textiles</v>
      </c>
      <c r="J47" s="93" t="n">
        <v>84</v>
      </c>
      <c r="K47" s="80" t="str">
        <f>IFERROR(INDEX('Regional Markets'!$D$8:$D$15,MATCH(E47,'Regional Markets'!$B$8:$B$15,0)),"")</f>
        <v>CAD</v>
      </c>
      <c r="L47" s="94">
        <f>ROUND(INDEX('Product Catalog'!$I$7:$I$22,MATCH(G47,'Product Catalog'!$B$7:$B$22,0))*INDEX('Regional Markets'!$E$8:$E$15,MATCH(E47,'Regional Markets'!$B$8:$B$15,0)),IF(K47="JPY",0,2))</f>
        <v>108.23</v>
      </c>
      <c r="M47" s="79" t="n">
        <v>0.045</v>
      </c>
      <c r="N47" s="94">
        <f>J47*L47*(1-M47)</f>
        <v>8682.2106</v>
      </c>
      <c r="O47" s="78">
        <f>N47/INDEX('Regional Markets'!$E$8:$E$15,MATCH(E47,'Regional Markets'!$B$8:$B$15,0))</f>
        <v>6337.38</v>
      </c>
      <c r="P47" s="80" t="inlineStr">
        <is>
          <t>Delivered</t>
        </is>
      </c>
      <c r="Q47" s="91" t="n">
        <v>46176</v>
      </c>
      <c r="R47" s="76" t="inlineStr">
        <is>
          <t>Ship DDP Toronto. Email customs broker documents 72 hours before arrival.</t>
        </is>
      </c>
    </row>
    <row r="48" ht="34.4" customHeight="1">
      <c r="B48" s="90" t="inlineStr">
        <is>
          <t>SO-26-1081</t>
        </is>
      </c>
      <c r="C48" s="91" t="n">
        <v>46149</v>
      </c>
      <c r="D48" s="76" t="inlineStr">
        <is>
          <t>Wohnhaus Berger GmbH</t>
        </is>
      </c>
      <c r="E48" s="92" t="inlineStr">
        <is>
          <t>Germany</t>
        </is>
      </c>
      <c r="F48" s="92" t="inlineStr">
        <is>
          <t>Retail Partner</t>
        </is>
      </c>
      <c r="G48" s="92" t="inlineStr">
        <is>
          <t>LL-LGT-101</t>
        </is>
      </c>
      <c r="H48" s="76" t="str">
        <f>IFERROR(INDEX('Product Catalog'!$C$7:$C$22,MATCH(G48,'Product Catalog'!$B$7:$B$22,0)),"")</f>
        <v>Halden Linen Pendant Lamp</v>
      </c>
      <c r="I48" s="92" t="str">
        <f>IFERROR(INDEX('Product Catalog'!$D$7:$D$22,MATCH(G48,'Product Catalog'!$B$7:$B$22,0)),"")</f>
        <v>Lighting</v>
      </c>
      <c r="J48" s="93" t="n">
        <v>88</v>
      </c>
      <c r="K48" s="80" t="str">
        <f>IFERROR(INDEX('Regional Markets'!$D$8:$D$15,MATCH(E48,'Regional Markets'!$B$8:$B$15,0)),"")</f>
        <v>EUR</v>
      </c>
      <c r="L48" s="94">
        <f>ROUND(INDEX('Product Catalog'!$I$7:$I$22,MATCH(G48,'Product Catalog'!$B$7:$B$22,0))*INDEX('Regional Markets'!$E$8:$E$15,MATCH(E48,'Regional Markets'!$B$8:$B$15,0)),IF(K48="JPY",0,2))</f>
        <v>173.88</v>
      </c>
      <c r="M48" s="79" t="n">
        <v>0.045</v>
      </c>
      <c r="N48" s="94">
        <f>J48*L48*(1-M48)</f>
        <v>14612.8752</v>
      </c>
      <c r="O48" s="78">
        <f>N48/INDEX('Regional Markets'!$E$8:$E$15,MATCH(E48,'Regional Markets'!$B$8:$B$15,0))</f>
        <v>15883.56</v>
      </c>
      <c r="P48" s="80" t="inlineStr">
        <is>
          <t>Cancelled</t>
        </is>
      </c>
      <c r="Q48" s="91" t="n">
        <v>46175</v>
      </c>
      <c r="R48" s="76" t="inlineStr">
        <is>
          <t>Delivery appointment required; maximum pallet height 1.8 m.</t>
        </is>
      </c>
    </row>
    <row r="49" ht="34.4" customHeight="1">
      <c r="B49" s="90" t="inlineStr">
        <is>
          <t>SO-26-1082</t>
        </is>
      </c>
      <c r="C49" s="91" t="n">
        <v>46150</v>
      </c>
      <c r="D49" s="76" t="inlineStr">
        <is>
          <t>Maple Street Interiors</t>
        </is>
      </c>
      <c r="E49" s="92" t="inlineStr">
        <is>
          <t>Canada</t>
        </is>
      </c>
      <c r="F49" s="92" t="inlineStr">
        <is>
          <t>Retail Partner</t>
        </is>
      </c>
      <c r="G49" s="92" t="inlineStr">
        <is>
          <t>LL-FUR-309</t>
        </is>
      </c>
      <c r="H49" s="76" t="str">
        <f>IFERROR(INDEX('Product Catalog'!$C$7:$C$22,MATCH(G49,'Product Catalog'!$B$7:$B$22,0)),"")</f>
        <v>Otto Rattan Lounge Chair</v>
      </c>
      <c r="I49" s="92" t="str">
        <f>IFERROR(INDEX('Product Catalog'!$D$7:$D$22,MATCH(G49,'Product Catalog'!$B$7:$B$22,0)),"")</f>
        <v>Furniture</v>
      </c>
      <c r="J49" s="93" t="n">
        <v>48</v>
      </c>
      <c r="K49" s="80" t="str">
        <f>IFERROR(INDEX('Regional Markets'!$D$8:$D$15,MATCH(E49,'Regional Markets'!$B$8:$B$15,0)),"")</f>
        <v>CAD</v>
      </c>
      <c r="L49" s="94">
        <f>ROUND(INDEX('Product Catalog'!$I$7:$I$22,MATCH(G49,'Product Catalog'!$B$7:$B$22,0))*INDEX('Regional Markets'!$E$8:$E$15,MATCH(E49,'Regional Markets'!$B$8:$B$15,0)),IF(K49="JPY",0,2))</f>
        <v>945.3</v>
      </c>
      <c r="M49" s="79" t="n">
        <v>0.055</v>
      </c>
      <c r="N49" s="94">
        <f>J49*L49*(1-M49)</f>
        <v>42878.808</v>
      </c>
      <c r="O49" s="78">
        <f>N49/INDEX('Regional Markets'!$E$8:$E$15,MATCH(E49,'Regional Markets'!$B$8:$B$15,0))</f>
        <v>31298.4</v>
      </c>
      <c r="P49" s="80" t="inlineStr">
        <is>
          <t>Delivered</t>
        </is>
      </c>
      <c r="Q49" s="91" t="n">
        <v>46178</v>
      </c>
      <c r="R49" s="76" t="inlineStr">
        <is>
          <t>Ship DDP Toronto. Email customs broker documents 72 hours before arrival.</t>
        </is>
      </c>
    </row>
    <row r="50" ht="47.6" customHeight="1">
      <c r="B50" s="90" t="inlineStr">
        <is>
          <t>SO-26-1083</t>
        </is>
      </c>
      <c r="C50" s="91" t="n">
        <v>46150</v>
      </c>
      <c r="D50" s="76" t="inlineStr">
        <is>
          <t>Hem &amp; Sjö Distribution AB</t>
        </is>
      </c>
      <c r="E50" s="92" t="inlineStr">
        <is>
          <t>Sweden</t>
        </is>
      </c>
      <c r="F50" s="92" t="inlineStr">
        <is>
          <t>Distributor</t>
        </is>
      </c>
      <c r="G50" s="92" t="inlineStr">
        <is>
          <t>LL-DEC-501</t>
        </is>
      </c>
      <c r="H50" s="76" t="str">
        <f>IFERROR(INDEX('Product Catalog'!$C$7:$C$22,MATCH(G50,'Product Catalog'!$B$7:$B$22,0)),"")</f>
        <v>Lumi Recycled Glass Vase</v>
      </c>
      <c r="I50" s="92" t="str">
        <f>IFERROR(INDEX('Product Catalog'!$D$7:$D$22,MATCH(G50,'Product Catalog'!$B$7:$B$22,0)),"")</f>
        <v>Decor &amp; Rugs</v>
      </c>
      <c r="J50" s="93" t="n">
        <v>884</v>
      </c>
      <c r="K50" s="80" t="str">
        <f>IFERROR(INDEX('Regional Markets'!$D$8:$D$15,MATCH(E50,'Regional Markets'!$B$8:$B$15,0)),"")</f>
        <v>SEK</v>
      </c>
      <c r="L50" s="94">
        <f>ROUND(INDEX('Product Catalog'!$I$7:$I$22,MATCH(G50,'Product Catalog'!$B$7:$B$22,0))*INDEX('Regional Markets'!$E$8:$E$15,MATCH(E50,'Regional Markets'!$B$8:$B$15,0)),IF(K50="JPY",0,2))</f>
        <v>678.4</v>
      </c>
      <c r="M50" s="79" t="n">
        <v>0.11</v>
      </c>
      <c r="N50" s="94">
        <f>J50*L50*(1-M50)</f>
        <v>533737.984</v>
      </c>
      <c r="O50" s="78">
        <f>N50/INDEX('Regional Markets'!$E$8:$E$15,MATCH(E50,'Regional Markets'!$B$8:$B$15,0))</f>
        <v>50352.64</v>
      </c>
      <c r="P50" s="80" t="inlineStr">
        <is>
          <t>Delivered</t>
        </is>
      </c>
      <c r="Q50" s="91" t="n">
        <v>46190</v>
      </c>
      <c r="R50" s="76" t="inlineStr">
        <is>
          <t>Monthly consolidated road freight. Attach FSC certificates to the shipping documents.</t>
        </is>
      </c>
    </row>
    <row r="51" ht="34.4" customHeight="1">
      <c r="B51" s="90" t="inlineStr">
        <is>
          <t>SO-26-1084</t>
        </is>
      </c>
      <c r="C51" s="91" t="n">
        <v>46153</v>
      </c>
      <c r="D51" s="76" t="inlineStr">
        <is>
          <t>Hem &amp; Sjö Distribution AB</t>
        </is>
      </c>
      <c r="E51" s="92" t="inlineStr">
        <is>
          <t>Sweden</t>
        </is>
      </c>
      <c r="F51" s="92" t="inlineStr">
        <is>
          <t>Distributor</t>
        </is>
      </c>
      <c r="G51" s="92" t="inlineStr">
        <is>
          <t>LL-LGT-112</t>
        </is>
      </c>
      <c r="H51" s="76" t="str">
        <f>IFERROR(INDEX('Product Catalog'!$C$7:$C$22,MATCH(G51,'Product Catalog'!$B$7:$B$22,0)),"")</f>
        <v>Vik Brass Floor Lamp</v>
      </c>
      <c r="I51" s="92" t="str">
        <f>IFERROR(INDEX('Product Catalog'!$D$7:$D$22,MATCH(G51,'Product Catalog'!$B$7:$B$22,0)),"")</f>
        <v>Lighting</v>
      </c>
      <c r="J51" s="93" t="n">
        <v>108</v>
      </c>
      <c r="K51" s="80" t="str">
        <f>IFERROR(INDEX('Regional Markets'!$D$8:$D$15,MATCH(E51,'Regional Markets'!$B$8:$B$15,0)),"")</f>
        <v>SEK</v>
      </c>
      <c r="L51" s="94">
        <f>ROUND(INDEX('Product Catalog'!$I$7:$I$22,MATCH(G51,'Product Catalog'!$B$7:$B$22,0))*INDEX('Regional Markets'!$E$8:$E$15,MATCH(E51,'Regional Markets'!$B$8:$B$15,0)),IF(K51="JPY",0,2))</f>
        <v>3487.4</v>
      </c>
      <c r="M51" s="79" t="n">
        <v>0.14</v>
      </c>
      <c r="N51" s="94">
        <f>J51*L51*(1-M51)</f>
        <v>323909.712</v>
      </c>
      <c r="O51" s="78">
        <f>N51/INDEX('Regional Markets'!$E$8:$E$15,MATCH(E51,'Regional Markets'!$B$8:$B$15,0))</f>
        <v>30557.52</v>
      </c>
      <c r="P51" s="80" t="inlineStr">
        <is>
          <t>Delivered</t>
        </is>
      </c>
      <c r="Q51" s="91" t="n">
        <v>46195</v>
      </c>
      <c r="R51" s="76" t="inlineStr">
        <is>
          <t>Upload OEKO-TEX certificates to the distributor portal before dispatch.</t>
        </is>
      </c>
    </row>
    <row r="52" ht="21.2" customHeight="1">
      <c r="B52" s="90" t="inlineStr">
        <is>
          <t>SO-26-1085</t>
        </is>
      </c>
      <c r="C52" s="91" t="n">
        <v>46161</v>
      </c>
      <c r="D52" s="76" t="inlineStr">
        <is>
          <t>Hinoki Living</t>
        </is>
      </c>
      <c r="E52" s="92" t="inlineStr">
        <is>
          <t>Japan</t>
        </is>
      </c>
      <c r="F52" s="92" t="inlineStr">
        <is>
          <t>E-commerce</t>
        </is>
      </c>
      <c r="G52" s="92" t="inlineStr">
        <is>
          <t>LL-TXT-205</t>
        </is>
      </c>
      <c r="H52" s="76" t="str">
        <f>IFERROR(INDEX('Product Catalog'!$C$7:$C$22,MATCH(G52,'Product Catalog'!$B$7:$B$22,0)),"")</f>
        <v>Fell Merino Wool Throw</v>
      </c>
      <c r="I52" s="92" t="str">
        <f>IFERROR(INDEX('Product Catalog'!$D$7:$D$22,MATCH(G52,'Product Catalog'!$B$7:$B$22,0)),"")</f>
        <v>Textiles</v>
      </c>
      <c r="J52" s="93" t="n">
        <v>240</v>
      </c>
      <c r="K52" s="80" t="str">
        <f>IFERROR(INDEX('Regional Markets'!$D$8:$D$15,MATCH(E52,'Regional Markets'!$B$8:$B$15,0)),"")</f>
        <v>JPY</v>
      </c>
      <c r="L52" s="94">
        <f>ROUND(INDEX('Product Catalog'!$I$7:$I$22,MATCH(G52,'Product Catalog'!$B$7:$B$22,0))*INDEX('Regional Markets'!$E$8:$E$15,MATCH(E52,'Regional Markets'!$B$8:$B$15,0)),IF(K52="JPY",0,2))</f>
        <v>19092</v>
      </c>
      <c r="M52" s="79" t="n">
        <v>0.03</v>
      </c>
      <c r="N52" s="94">
        <f>J52*L52*(1-M52)</f>
        <v>4444617.6</v>
      </c>
      <c r="O52" s="78">
        <f>N52/INDEX('Regional Markets'!$E$8:$E$15,MATCH(E52,'Regional Markets'!$B$8:$B$15,0))</f>
        <v>30031.2</v>
      </c>
      <c r="P52" s="80" t="inlineStr">
        <is>
          <t>Delivered</t>
        </is>
      </c>
      <c r="Q52" s="91" t="n">
        <v>46202</v>
      </c>
      <c r="R52" s="76" t="inlineStr">
        <is>
          <t>Standard terms; no special handling.</t>
        </is>
      </c>
    </row>
    <row r="53" ht="21.2" customHeight="1">
      <c r="B53" s="90" t="inlineStr">
        <is>
          <t>SO-26-1086</t>
        </is>
      </c>
      <c r="C53" s="91" t="n">
        <v>46167</v>
      </c>
      <c r="D53" s="76" t="inlineStr">
        <is>
          <t>Galeries Ombre</t>
        </is>
      </c>
      <c r="E53" s="92" t="inlineStr">
        <is>
          <t>France</t>
        </is>
      </c>
      <c r="F53" s="92" t="inlineStr">
        <is>
          <t>Department Store</t>
        </is>
      </c>
      <c r="G53" s="92" t="inlineStr">
        <is>
          <t>LL-TXT-210</t>
        </is>
      </c>
      <c r="H53" s="76" t="str">
        <f>IFERROR(INDEX('Product Catalog'!$C$7:$C$22,MATCH(G53,'Product Catalog'!$B$7:$B$22,0)),"")</f>
        <v>Marlow Hand-Loomed Cushion Cover</v>
      </c>
      <c r="I53" s="92" t="str">
        <f>IFERROR(INDEX('Product Catalog'!$D$7:$D$22,MATCH(G53,'Product Catalog'!$B$7:$B$22,0)),"")</f>
        <v>Textiles</v>
      </c>
      <c r="J53" s="93" t="n">
        <v>552</v>
      </c>
      <c r="K53" s="80" t="str">
        <f>IFERROR(INDEX('Regional Markets'!$D$8:$D$15,MATCH(E53,'Regional Markets'!$B$8:$B$15,0)),"")</f>
        <v>EUR</v>
      </c>
      <c r="L53" s="94">
        <f>ROUND(INDEX('Product Catalog'!$I$7:$I$22,MATCH(G53,'Product Catalog'!$B$7:$B$22,0))*INDEX('Regional Markets'!$E$8:$E$15,MATCH(E53,'Regional Markets'!$B$8:$B$15,0)),IF(K53="JPY",0,2))</f>
        <v>35.88</v>
      </c>
      <c r="M53" s="79" t="n">
        <v>0.14</v>
      </c>
      <c r="N53" s="94">
        <f>J53*L53*(1-M53)</f>
        <v>17032.9536</v>
      </c>
      <c r="O53" s="78">
        <f>N53/INDEX('Regional Markets'!$E$8:$E$15,MATCH(E53,'Regional Markets'!$B$8:$B$15,0))</f>
        <v>18514.08</v>
      </c>
      <c r="P53" s="80" t="inlineStr">
        <is>
          <t>Delivered</t>
        </is>
      </c>
      <c r="Q53" s="91" t="n">
        <v>46198</v>
      </c>
      <c r="R53" s="76" t="inlineStr">
        <is>
          <t>Standard terms; no special handling.</t>
        </is>
      </c>
    </row>
    <row r="54" ht="21.2" customHeight="1">
      <c r="B54" s="90" t="inlineStr">
        <is>
          <t>SO-26-1087</t>
        </is>
      </c>
      <c r="C54" s="91" t="n">
        <v>46167</v>
      </c>
      <c r="D54" s="76" t="inlineStr">
        <is>
          <t>Maison Vérane</t>
        </is>
      </c>
      <c r="E54" s="92" t="inlineStr">
        <is>
          <t>France</t>
        </is>
      </c>
      <c r="F54" s="92" t="inlineStr">
        <is>
          <t>Retail Partner</t>
        </is>
      </c>
      <c r="G54" s="92" t="inlineStr">
        <is>
          <t>LL-DEC-501</t>
        </is>
      </c>
      <c r="H54" s="76" t="str">
        <f>IFERROR(INDEX('Product Catalog'!$C$7:$C$22,MATCH(G54,'Product Catalog'!$B$7:$B$22,0)),"")</f>
        <v>Lumi Recycled Glass Vase</v>
      </c>
      <c r="I54" s="92" t="str">
        <f>IFERROR(INDEX('Product Catalog'!$D$7:$D$22,MATCH(G54,'Product Catalog'!$B$7:$B$22,0)),"")</f>
        <v>Decor &amp; Rugs</v>
      </c>
      <c r="J54" s="93" t="n">
        <v>264</v>
      </c>
      <c r="K54" s="80" t="str">
        <f>IFERROR(INDEX('Regional Markets'!$D$8:$D$15,MATCH(E54,'Regional Markets'!$B$8:$B$15,0)),"")</f>
        <v>EUR</v>
      </c>
      <c r="L54" s="94">
        <f>ROUND(INDEX('Product Catalog'!$I$7:$I$22,MATCH(G54,'Product Catalog'!$B$7:$B$22,0))*INDEX('Regional Markets'!$E$8:$E$15,MATCH(E54,'Regional Markets'!$B$8:$B$15,0)),IF(K54="JPY",0,2))</f>
        <v>58.88</v>
      </c>
      <c r="M54" s="79" t="n">
        <v>0.05</v>
      </c>
      <c r="N54" s="94">
        <f>J54*L54*(1-M54)</f>
        <v>14767.104</v>
      </c>
      <c r="O54" s="78">
        <f>N54/INDEX('Regional Markets'!$E$8:$E$15,MATCH(E54,'Regional Markets'!$B$8:$B$15,0))</f>
        <v>16051.2</v>
      </c>
      <c r="P54" s="80" t="inlineStr">
        <is>
          <t>Delivered</t>
        </is>
      </c>
      <c r="Q54" s="91" t="n">
        <v>46209</v>
      </c>
      <c r="R54" s="76" t="inlineStr">
        <is>
          <t>Deliveries accepted before 11:00 only.</t>
        </is>
      </c>
    </row>
    <row r="55" ht="34.4" customHeight="1">
      <c r="B55" s="90" t="inlineStr">
        <is>
          <t>SO-26-1088</t>
        </is>
      </c>
      <c r="C55" s="91" t="n">
        <v>46176</v>
      </c>
      <c r="D55" s="76" t="inlineStr">
        <is>
          <t>Hotel Seeblick Gruppe</t>
        </is>
      </c>
      <c r="E55" s="92" t="inlineStr">
        <is>
          <t>Germany</t>
        </is>
      </c>
      <c r="F55" s="92" t="inlineStr">
        <is>
          <t>Contract / Hospitality</t>
        </is>
      </c>
      <c r="G55" s="92" t="inlineStr">
        <is>
          <t>LL-TXT-210</t>
        </is>
      </c>
      <c r="H55" s="76" t="str">
        <f>IFERROR(INDEX('Product Catalog'!$C$7:$C$22,MATCH(G55,'Product Catalog'!$B$7:$B$22,0)),"")</f>
        <v>Marlow Hand-Loomed Cushion Cover</v>
      </c>
      <c r="I55" s="92" t="str">
        <f>IFERROR(INDEX('Product Catalog'!$D$7:$D$22,MATCH(G55,'Product Catalog'!$B$7:$B$22,0)),"")</f>
        <v>Textiles</v>
      </c>
      <c r="J55" s="93" t="n">
        <v>346</v>
      </c>
      <c r="K55" s="80" t="str">
        <f>IFERROR(INDEX('Regional Markets'!$D$8:$D$15,MATCH(E55,'Regional Markets'!$B$8:$B$15,0)),"")</f>
        <v>EUR</v>
      </c>
      <c r="L55" s="94">
        <f>ROUND(INDEX('Product Catalog'!$I$7:$I$22,MATCH(G55,'Product Catalog'!$B$7:$B$22,0))*INDEX('Regional Markets'!$E$8:$E$15,MATCH(E55,'Regional Markets'!$B$8:$B$15,0)),IF(K55="JPY",0,2))</f>
        <v>35.88</v>
      </c>
      <c r="M55" s="79" t="n">
        <v>0.195</v>
      </c>
      <c r="N55" s="94">
        <f>J55*L55*(1-M55)</f>
        <v>9993.6564</v>
      </c>
      <c r="O55" s="78">
        <f>N55/INDEX('Regional Markets'!$E$8:$E$15,MATCH(E55,'Regional Markets'!$B$8:$B$15,0))</f>
        <v>10862.67</v>
      </c>
      <c r="P55" s="80" t="inlineStr">
        <is>
          <t>Cancelled</t>
        </is>
      </c>
      <c r="Q55" s="91" t="n">
        <v>46225</v>
      </c>
      <c r="R55" s="76" t="inlineStr">
        <is>
          <t>Contract order: chairs must ship with EN 16139 test certificates.</t>
        </is>
      </c>
    </row>
    <row r="56" ht="34.4" customHeight="1">
      <c r="B56" s="90" t="inlineStr">
        <is>
          <t>SO-26-1089</t>
        </is>
      </c>
      <c r="C56" s="91" t="n">
        <v>46178</v>
      </c>
      <c r="D56" s="76" t="inlineStr">
        <is>
          <t>Galeries Ombre</t>
        </is>
      </c>
      <c r="E56" s="92" t="inlineStr">
        <is>
          <t>France</t>
        </is>
      </c>
      <c r="F56" s="92" t="inlineStr">
        <is>
          <t>Department Store</t>
        </is>
      </c>
      <c r="G56" s="92" t="inlineStr">
        <is>
          <t>LL-DEC-501</t>
        </is>
      </c>
      <c r="H56" s="76" t="str">
        <f>IFERROR(INDEX('Product Catalog'!$C$7:$C$22,MATCH(G56,'Product Catalog'!$B$7:$B$22,0)),"")</f>
        <v>Lumi Recycled Glass Vase</v>
      </c>
      <c r="I56" s="92" t="str">
        <f>IFERROR(INDEX('Product Catalog'!$D$7:$D$22,MATCH(G56,'Product Catalog'!$B$7:$B$22,0)),"")</f>
        <v>Decor &amp; Rugs</v>
      </c>
      <c r="J56" s="93" t="n">
        <v>576</v>
      </c>
      <c r="K56" s="80" t="str">
        <f>IFERROR(INDEX('Regional Markets'!$D$8:$D$15,MATCH(E56,'Regional Markets'!$B$8:$B$15,0)),"")</f>
        <v>EUR</v>
      </c>
      <c r="L56" s="94">
        <f>ROUND(INDEX('Product Catalog'!$I$7:$I$22,MATCH(G56,'Product Catalog'!$B$7:$B$22,0))*INDEX('Regional Markets'!$E$8:$E$15,MATCH(E56,'Regional Markets'!$B$8:$B$15,0)),IF(K56="JPY",0,2))</f>
        <v>58.88</v>
      </c>
      <c r="M56" s="79" t="n">
        <v>0.1</v>
      </c>
      <c r="N56" s="94">
        <f>J56*L56*(1-M56)</f>
        <v>30523.392</v>
      </c>
      <c r="O56" s="78">
        <f>N56/INDEX('Regional Markets'!$E$8:$E$15,MATCH(E56,'Regional Markets'!$B$8:$B$15,0))</f>
        <v>33177.6</v>
      </c>
      <c r="P56" s="80" t="inlineStr">
        <is>
          <t>Delivered</t>
        </is>
      </c>
      <c r="Q56" s="91" t="n">
        <v>46202</v>
      </c>
      <c r="R56" s="76" t="inlineStr">
        <is>
          <t>Retailer quality inspection on arrival (5% sample check).</t>
        </is>
      </c>
    </row>
    <row r="57" ht="47.6" customHeight="1">
      <c r="B57" s="90" t="inlineStr">
        <is>
          <t>SO-26-1090</t>
        </is>
      </c>
      <c r="C57" s="91" t="n">
        <v>46178</v>
      </c>
      <c r="D57" s="76" t="inlineStr">
        <is>
          <t>Hem &amp; Sjö Distribution AB</t>
        </is>
      </c>
      <c r="E57" s="92" t="inlineStr">
        <is>
          <t>Sweden</t>
        </is>
      </c>
      <c r="F57" s="92" t="inlineStr">
        <is>
          <t>Distributor</t>
        </is>
      </c>
      <c r="G57" s="92" t="inlineStr">
        <is>
          <t>LL-FUR-301</t>
        </is>
      </c>
      <c r="H57" s="76" t="str">
        <f>IFERROR(INDEX('Product Catalog'!$C$7:$C$22,MATCH(G57,'Product Catalog'!$B$7:$B$22,0)),"")</f>
        <v>Tove Solid Oak Dining Chair</v>
      </c>
      <c r="I57" s="92" t="str">
        <f>IFERROR(INDEX('Product Catalog'!$D$7:$D$22,MATCH(G57,'Product Catalog'!$B$7:$B$22,0)),"")</f>
        <v>Furniture</v>
      </c>
      <c r="J57" s="93" t="n">
        <v>140</v>
      </c>
      <c r="K57" s="80" t="str">
        <f>IFERROR(INDEX('Regional Markets'!$D$8:$D$15,MATCH(E57,'Regional Markets'!$B$8:$B$15,0)),"")</f>
        <v>SEK</v>
      </c>
      <c r="L57" s="94">
        <f>ROUND(INDEX('Product Catalog'!$I$7:$I$22,MATCH(G57,'Product Catalog'!$B$7:$B$22,0))*INDEX('Regional Markets'!$E$8:$E$15,MATCH(E57,'Regional Markets'!$B$8:$B$15,0)),IF(K57="JPY",0,2))</f>
        <v>2597</v>
      </c>
      <c r="M57" s="79" t="n">
        <v>0.135</v>
      </c>
      <c r="N57" s="94">
        <f>J57*L57*(1-M57)</f>
        <v>314496.7</v>
      </c>
      <c r="O57" s="78">
        <f>N57/INDEX('Regional Markets'!$E$8:$E$15,MATCH(E57,'Regional Markets'!$B$8:$B$15,0))</f>
        <v>29669.5</v>
      </c>
      <c r="P57" s="80" t="inlineStr">
        <is>
          <t>Delivered</t>
        </is>
      </c>
      <c r="Q57" s="91" t="n">
        <v>46219</v>
      </c>
      <c r="R57" s="76" t="inlineStr">
        <is>
          <t>Monthly consolidated road freight. Attach FSC certificates to the shipping documents.</t>
        </is>
      </c>
    </row>
    <row r="58" ht="21.2" customHeight="1">
      <c r="B58" s="90" t="inlineStr">
        <is>
          <t>SO-26-1091</t>
        </is>
      </c>
      <c r="C58" s="91" t="n">
        <v>46181</v>
      </c>
      <c r="D58" s="76" t="inlineStr">
        <is>
          <t>Maison Vérane</t>
        </is>
      </c>
      <c r="E58" s="92" t="inlineStr">
        <is>
          <t>France</t>
        </is>
      </c>
      <c r="F58" s="92" t="inlineStr">
        <is>
          <t>Retail Partner</t>
        </is>
      </c>
      <c r="G58" s="92" t="inlineStr">
        <is>
          <t>LL-KIT-406</t>
        </is>
      </c>
      <c r="H58" s="76" t="str">
        <f>IFERROR(INDEX('Product Catalog'!$C$7:$C$22,MATCH(G58,'Product Catalog'!$B$7:$B$22,0)),"")</f>
        <v>Aska Enamelled Cast Iron Casserole</v>
      </c>
      <c r="I58" s="92" t="str">
        <f>IFERROR(INDEX('Product Catalog'!$D$7:$D$22,MATCH(G58,'Product Catalog'!$B$7:$B$22,0)),"")</f>
        <v>Kitchen &amp; Dining</v>
      </c>
      <c r="J58" s="93" t="n">
        <v>60</v>
      </c>
      <c r="K58" s="80" t="str">
        <f>IFERROR(INDEX('Regional Markets'!$D$8:$D$15,MATCH(E58,'Regional Markets'!$B$8:$B$15,0)),"")</f>
        <v>EUR</v>
      </c>
      <c r="L58" s="94">
        <f>ROUND(INDEX('Product Catalog'!$I$7:$I$22,MATCH(G58,'Product Catalog'!$B$7:$B$22,0))*INDEX('Regional Markets'!$E$8:$E$15,MATCH(E58,'Regional Markets'!$B$8:$B$15,0)),IF(K58="JPY",0,2))</f>
        <v>193.2</v>
      </c>
      <c r="M58" s="79" t="n">
        <v>0.075</v>
      </c>
      <c r="N58" s="94">
        <f>J58*L58*(1-M58)</f>
        <v>10722.6</v>
      </c>
      <c r="O58" s="78">
        <f>N58/INDEX('Regional Markets'!$E$8:$E$15,MATCH(E58,'Regional Markets'!$B$8:$B$15,0))</f>
        <v>11655</v>
      </c>
      <c r="P58" s="80" t="inlineStr">
        <is>
          <t>Delivered</t>
        </is>
      </c>
      <c r="Q58" s="91" t="n">
        <v>46216</v>
      </c>
      <c r="R58" s="76" t="inlineStr">
        <is>
          <t>Deliveries accepted before 11:00 only.</t>
        </is>
      </c>
    </row>
    <row r="59" ht="34.4" customHeight="1">
      <c r="B59" s="90" t="inlineStr">
        <is>
          <t>SO-26-1092</t>
        </is>
      </c>
      <c r="C59" s="91" t="n">
        <v>46185</v>
      </c>
      <c r="D59" s="76" t="inlineStr">
        <is>
          <t>Nordlicht Interiors</t>
        </is>
      </c>
      <c r="E59" s="92" t="inlineStr">
        <is>
          <t>Germany</t>
        </is>
      </c>
      <c r="F59" s="92" t="inlineStr">
        <is>
          <t>E-commerce</t>
        </is>
      </c>
      <c r="G59" s="92" t="inlineStr">
        <is>
          <t>LL-FUR-316</t>
        </is>
      </c>
      <c r="H59" s="76" t="str">
        <f>IFERROR(INDEX('Product Catalog'!$C$7:$C$22,MATCH(G59,'Product Catalog'!$B$7:$B$22,0)),"")</f>
        <v>Liss Walnut Side Table</v>
      </c>
      <c r="I59" s="92" t="str">
        <f>IFERROR(INDEX('Product Catalog'!$D$7:$D$22,MATCH(G59,'Product Catalog'!$B$7:$B$22,0)),"")</f>
        <v>Furniture</v>
      </c>
      <c r="J59" s="93" t="n">
        <v>88</v>
      </c>
      <c r="K59" s="80" t="str">
        <f>IFERROR(INDEX('Regional Markets'!$D$8:$D$15,MATCH(E59,'Regional Markets'!$B$8:$B$15,0)),"")</f>
        <v>EUR</v>
      </c>
      <c r="L59" s="94">
        <f>ROUND(INDEX('Product Catalog'!$I$7:$I$22,MATCH(G59,'Product Catalog'!$B$7:$B$22,0))*INDEX('Regional Markets'!$E$8:$E$15,MATCH(E59,'Regional Markets'!$B$8:$B$15,0)),IF(K59="JPY",0,2))</f>
        <v>257.6</v>
      </c>
      <c r="M59" s="79" t="n">
        <v>0.01</v>
      </c>
      <c r="N59" s="94">
        <f>J59*L59*(1-M59)</f>
        <v>22442.112</v>
      </c>
      <c r="O59" s="78">
        <f>N59/INDEX('Regional Markets'!$E$8:$E$15,MATCH(E59,'Regional Markets'!$B$8:$B$15,0))</f>
        <v>24393.6</v>
      </c>
      <c r="P59" s="80" t="inlineStr">
        <is>
          <t>Delivered</t>
        </is>
      </c>
      <c r="Q59" s="91" t="n">
        <v>46227</v>
      </c>
      <c r="R59" s="76" t="inlineStr">
        <is>
          <t>German product data sheets needed before goods can be listed online.</t>
        </is>
      </c>
    </row>
    <row r="60" ht="21.2" customHeight="1">
      <c r="B60" s="90" t="inlineStr">
        <is>
          <t>SO-26-1093</t>
        </is>
      </c>
      <c r="C60" s="91" t="n">
        <v>46185</v>
      </c>
      <c r="D60" s="76" t="inlineStr">
        <is>
          <t>Kurashi Select</t>
        </is>
      </c>
      <c r="E60" s="92" t="inlineStr">
        <is>
          <t>Japan</t>
        </is>
      </c>
      <c r="F60" s="92" t="inlineStr">
        <is>
          <t>Retail Partner</t>
        </is>
      </c>
      <c r="G60" s="92" t="inlineStr">
        <is>
          <t>LL-FUR-316</t>
        </is>
      </c>
      <c r="H60" s="76" t="str">
        <f>IFERROR(INDEX('Product Catalog'!$C$7:$C$22,MATCH(G60,'Product Catalog'!$B$7:$B$22,0)),"")</f>
        <v>Liss Walnut Side Table</v>
      </c>
      <c r="I60" s="92" t="str">
        <f>IFERROR(INDEX('Product Catalog'!$D$7:$D$22,MATCH(G60,'Product Catalog'!$B$7:$B$22,0)),"")</f>
        <v>Furniture</v>
      </c>
      <c r="J60" s="93" t="n">
        <v>116</v>
      </c>
      <c r="K60" s="80" t="str">
        <f>IFERROR(INDEX('Regional Markets'!$D$8:$D$15,MATCH(E60,'Regional Markets'!$B$8:$B$15,0)),"")</f>
        <v>JPY</v>
      </c>
      <c r="L60" s="94">
        <f>ROUND(INDEX('Product Catalog'!$I$7:$I$22,MATCH(G60,'Product Catalog'!$B$7:$B$22,0))*INDEX('Regional Markets'!$E$8:$E$15,MATCH(E60,'Regional Markets'!$B$8:$B$15,0)),IF(K60="JPY",0,2))</f>
        <v>41440</v>
      </c>
      <c r="M60" s="79" t="n">
        <v>0.095</v>
      </c>
      <c r="N60" s="94">
        <f>J60*L60*(1-M60)</f>
        <v>4350371.2</v>
      </c>
      <c r="O60" s="78">
        <f>N60/INDEX('Regional Markets'!$E$8:$E$15,MATCH(E60,'Regional Markets'!$B$8:$B$15,0))</f>
        <v>29394.4</v>
      </c>
      <c r="P60" s="80" t="inlineStr">
        <is>
          <t>Delivered</t>
        </is>
      </c>
      <c r="Q60" s="91" t="n">
        <v>46217</v>
      </c>
      <c r="R60" s="76" t="inlineStr">
        <is>
          <t>Standard terms; no special handling.</t>
        </is>
      </c>
    </row>
    <row r="61" ht="34.4" customHeight="1">
      <c r="B61" s="90" t="inlineStr">
        <is>
          <t>SO-26-1094</t>
        </is>
      </c>
      <c r="C61" s="91" t="n">
        <v>46185</v>
      </c>
      <c r="D61" s="76" t="inlineStr">
        <is>
          <t>Saltbush Home</t>
        </is>
      </c>
      <c r="E61" s="92" t="inlineStr">
        <is>
          <t>Australia</t>
        </is>
      </c>
      <c r="F61" s="92" t="inlineStr">
        <is>
          <t>Retail Partner</t>
        </is>
      </c>
      <c r="G61" s="92" t="inlineStr">
        <is>
          <t>LL-TXT-205</t>
        </is>
      </c>
      <c r="H61" s="76" t="str">
        <f>IFERROR(INDEX('Product Catalog'!$C$7:$C$22,MATCH(G61,'Product Catalog'!$B$7:$B$22,0)),"")</f>
        <v>Fell Merino Wool Throw</v>
      </c>
      <c r="I61" s="92" t="str">
        <f>IFERROR(INDEX('Product Catalog'!$D$7:$D$22,MATCH(G61,'Product Catalog'!$B$7:$B$22,0)),"")</f>
        <v>Textiles</v>
      </c>
      <c r="J61" s="93" t="n">
        <v>264</v>
      </c>
      <c r="K61" s="80" t="str">
        <f>IFERROR(INDEX('Regional Markets'!$D$8:$D$15,MATCH(E61,'Regional Markets'!$B$8:$B$15,0)),"")</f>
        <v>AUD</v>
      </c>
      <c r="L61" s="94">
        <f>ROUND(INDEX('Product Catalog'!$I$7:$I$22,MATCH(G61,'Product Catalog'!$B$7:$B$22,0))*INDEX('Regional Markets'!$E$8:$E$15,MATCH(E61,'Regional Markets'!$B$8:$B$15,0)),IF(K61="JPY",0,2))</f>
        <v>196.08</v>
      </c>
      <c r="M61" s="79" t="n">
        <v>0.045</v>
      </c>
      <c r="N61" s="94">
        <f>J61*L61*(1-M61)</f>
        <v>49435.6896</v>
      </c>
      <c r="O61" s="78">
        <f>N61/INDEX('Regional Markets'!$E$8:$E$15,MATCH(E61,'Regional Markets'!$B$8:$B$15,0))</f>
        <v>32523.48</v>
      </c>
      <c r="P61" s="80" t="inlineStr">
        <is>
          <t>Delivered</t>
        </is>
      </c>
      <c r="Q61" s="91" t="n">
        <v>46223</v>
      </c>
      <c r="R61" s="76" t="inlineStr">
        <is>
          <t>Timber items require a biosecurity declaration with the commercial invoice.</t>
        </is>
      </c>
    </row>
    <row r="62" ht="34.4" customHeight="1">
      <c r="B62" s="90" t="inlineStr">
        <is>
          <t>SO-26-1095</t>
        </is>
      </c>
      <c r="C62" s="91" t="n">
        <v>46195</v>
      </c>
      <c r="D62" s="76" t="inlineStr">
        <is>
          <t>Wohnhaus Berger GmbH</t>
        </is>
      </c>
      <c r="E62" s="92" t="inlineStr">
        <is>
          <t>Germany</t>
        </is>
      </c>
      <c r="F62" s="92" t="inlineStr">
        <is>
          <t>Retail Partner</t>
        </is>
      </c>
      <c r="G62" s="92" t="inlineStr">
        <is>
          <t>LL-TXT-205</t>
        </is>
      </c>
      <c r="H62" s="76" t="str">
        <f>IFERROR(INDEX('Product Catalog'!$C$7:$C$22,MATCH(G62,'Product Catalog'!$B$7:$B$22,0)),"")</f>
        <v>Fell Merino Wool Throw</v>
      </c>
      <c r="I62" s="92" t="str">
        <f>IFERROR(INDEX('Product Catalog'!$D$7:$D$22,MATCH(G62,'Product Catalog'!$B$7:$B$22,0)),"")</f>
        <v>Textiles</v>
      </c>
      <c r="J62" s="93" t="n">
        <v>288</v>
      </c>
      <c r="K62" s="80" t="str">
        <f>IFERROR(INDEX('Regional Markets'!$D$8:$D$15,MATCH(E62,'Regional Markets'!$B$8:$B$15,0)),"")</f>
        <v>EUR</v>
      </c>
      <c r="L62" s="94">
        <f>ROUND(INDEX('Product Catalog'!$I$7:$I$22,MATCH(G62,'Product Catalog'!$B$7:$B$22,0))*INDEX('Regional Markets'!$E$8:$E$15,MATCH(E62,'Regional Markets'!$B$8:$B$15,0)),IF(K62="JPY",0,2))</f>
        <v>118.68</v>
      </c>
      <c r="M62" s="79" t="n">
        <v>0.075</v>
      </c>
      <c r="N62" s="94">
        <f>J62*L62*(1-M62)</f>
        <v>31616.352</v>
      </c>
      <c r="O62" s="78">
        <f>N62/INDEX('Regional Markets'!$E$8:$E$15,MATCH(E62,'Regional Markets'!$B$8:$B$15,0))</f>
        <v>34365.6</v>
      </c>
      <c r="P62" s="80" t="inlineStr">
        <is>
          <t>Delivered</t>
        </is>
      </c>
      <c r="Q62" s="91" t="n">
        <v>46237</v>
      </c>
      <c r="R62" s="76" t="inlineStr">
        <is>
          <t>Delivery appointment required; maximum pallet height 1.8 m.</t>
        </is>
      </c>
    </row>
    <row r="63" ht="34.4" customHeight="1">
      <c r="B63" s="90" t="inlineStr">
        <is>
          <t>SO-26-1096</t>
        </is>
      </c>
      <c r="C63" s="91" t="n">
        <v>46196</v>
      </c>
      <c r="D63" s="76" t="inlineStr">
        <is>
          <t>Harbor &amp; Pine Home</t>
        </is>
      </c>
      <c r="E63" s="92" t="inlineStr">
        <is>
          <t>United States</t>
        </is>
      </c>
      <c r="F63" s="92" t="inlineStr">
        <is>
          <t>Retail Partner</t>
        </is>
      </c>
      <c r="G63" s="92" t="inlineStr">
        <is>
          <t>LL-KIT-401</t>
        </is>
      </c>
      <c r="H63" s="76" t="str">
        <f>IFERROR(INDEX('Product Catalog'!$C$7:$C$22,MATCH(G63,'Product Catalog'!$B$7:$B$22,0)),"")</f>
        <v>Hollis Stoneware Dinner Set</v>
      </c>
      <c r="I63" s="92" t="str">
        <f>IFERROR(INDEX('Product Catalog'!$D$7:$D$22,MATCH(G63,'Product Catalog'!$B$7:$B$22,0)),"")</f>
        <v>Kitchen &amp; Dining</v>
      </c>
      <c r="J63" s="93" t="n">
        <v>44</v>
      </c>
      <c r="K63" s="80" t="str">
        <f>IFERROR(INDEX('Regional Markets'!$D$8:$D$15,MATCH(E63,'Regional Markets'!$B$8:$B$15,0)),"")</f>
        <v>USD</v>
      </c>
      <c r="L63" s="94">
        <f>ROUND(INDEX('Product Catalog'!$I$7:$I$22,MATCH(G63,'Product Catalog'!$B$7:$B$22,0))*INDEX('Regional Markets'!$E$8:$E$15,MATCH(E63,'Regional Markets'!$B$8:$B$15,0)),IF(K63="JPY",0,2))</f>
        <v>165</v>
      </c>
      <c r="M63" s="79" t="n">
        <v>0.09</v>
      </c>
      <c r="N63" s="94">
        <f>J63*L63*(1-M63)</f>
        <v>6606.6</v>
      </c>
      <c r="O63" s="78">
        <f>N63/INDEX('Regional Markets'!$E$8:$E$15,MATCH(E63,'Regional Markets'!$B$8:$B$15,0))</f>
        <v>6606.6</v>
      </c>
      <c r="P63" s="80" t="inlineStr">
        <is>
          <t>Delivered</t>
        </is>
      </c>
      <c r="Q63" s="91" t="n">
        <v>46237</v>
      </c>
      <c r="R63" s="76" t="inlineStr">
        <is>
          <t>Deliver to Chicago DC; book a dock appointment at least 48 hours in advance.</t>
        </is>
      </c>
    </row>
    <row r="64" ht="34.4" customHeight="1">
      <c r="B64" s="90" t="inlineStr">
        <is>
          <t>SO-26-1097</t>
        </is>
      </c>
      <c r="C64" s="91" t="n">
        <v>46197</v>
      </c>
      <c r="D64" s="76" t="inlineStr">
        <is>
          <t>Nordlicht Interiors</t>
        </is>
      </c>
      <c r="E64" s="92" t="inlineStr">
        <is>
          <t>Germany</t>
        </is>
      </c>
      <c r="F64" s="92" t="inlineStr">
        <is>
          <t>E-commerce</t>
        </is>
      </c>
      <c r="G64" s="92" t="inlineStr">
        <is>
          <t>LL-FUR-316</t>
        </is>
      </c>
      <c r="H64" s="76" t="str">
        <f>IFERROR(INDEX('Product Catalog'!$C$7:$C$22,MATCH(G64,'Product Catalog'!$B$7:$B$22,0)),"")</f>
        <v>Liss Walnut Side Table</v>
      </c>
      <c r="I64" s="92" t="str">
        <f>IFERROR(INDEX('Product Catalog'!$D$7:$D$22,MATCH(G64,'Product Catalog'!$B$7:$B$22,0)),"")</f>
        <v>Furniture</v>
      </c>
      <c r="J64" s="93" t="n">
        <v>92</v>
      </c>
      <c r="K64" s="80" t="str">
        <f>IFERROR(INDEX('Regional Markets'!$D$8:$D$15,MATCH(E64,'Regional Markets'!$B$8:$B$15,0)),"")</f>
        <v>EUR</v>
      </c>
      <c r="L64" s="94">
        <f>ROUND(INDEX('Product Catalog'!$I$7:$I$22,MATCH(G64,'Product Catalog'!$B$7:$B$22,0))*INDEX('Regional Markets'!$E$8:$E$15,MATCH(E64,'Regional Markets'!$B$8:$B$15,0)),IF(K64="JPY",0,2))</f>
        <v>257.6</v>
      </c>
      <c r="M64" s="79" t="n">
        <v>0.005</v>
      </c>
      <c r="N64" s="94">
        <f>J64*L64*(1-M64)</f>
        <v>23580.704</v>
      </c>
      <c r="O64" s="78">
        <f>N64/INDEX('Regional Markets'!$E$8:$E$15,MATCH(E64,'Regional Markets'!$B$8:$B$15,0))</f>
        <v>25631.2</v>
      </c>
      <c r="P64" s="80" t="inlineStr">
        <is>
          <t>Delivered</t>
        </is>
      </c>
      <c r="Q64" s="91" t="n">
        <v>46238</v>
      </c>
      <c r="R64" s="76" t="inlineStr">
        <is>
          <t>Parcel-ready packaging: each unit must pass a 1.2 m drop test.</t>
        </is>
      </c>
    </row>
    <row r="65" ht="34.4" customHeight="1">
      <c r="B65" s="90" t="inlineStr">
        <is>
          <t>SO-26-1098</t>
        </is>
      </c>
      <c r="C65" s="91" t="n">
        <v>46199</v>
      </c>
      <c r="D65" s="76" t="inlineStr">
        <is>
          <t>Coastal Edit Hospitality</t>
        </is>
      </c>
      <c r="E65" s="92" t="inlineStr">
        <is>
          <t>Australia</t>
        </is>
      </c>
      <c r="F65" s="92" t="inlineStr">
        <is>
          <t>Contract / Hospitality</t>
        </is>
      </c>
      <c r="G65" s="92" t="inlineStr">
        <is>
          <t>LL-DEC-507</t>
        </is>
      </c>
      <c r="H65" s="76" t="str">
        <f>IFERROR(INDEX('Product Catalog'!$C$7:$C$22,MATCH(G65,'Product Catalog'!$B$7:$B$22,0)),"")</f>
        <v>Tarn Wool Area Rug</v>
      </c>
      <c r="I65" s="92" t="str">
        <f>IFERROR(INDEX('Product Catalog'!$D$7:$D$22,MATCH(G65,'Product Catalog'!$B$7:$B$22,0)),"")</f>
        <v>Decor &amp; Rugs</v>
      </c>
      <c r="J65" s="93" t="n">
        <v>52</v>
      </c>
      <c r="K65" s="80" t="str">
        <f>IFERROR(INDEX('Regional Markets'!$D$8:$D$15,MATCH(E65,'Regional Markets'!$B$8:$B$15,0)),"")</f>
        <v>AUD</v>
      </c>
      <c r="L65" s="94">
        <f>ROUND(INDEX('Product Catalog'!$I$7:$I$22,MATCH(G65,'Product Catalog'!$B$7:$B$22,0))*INDEX('Regional Markets'!$E$8:$E$15,MATCH(E65,'Regional Markets'!$B$8:$B$15,0)),IF(K65="JPY",0,2))</f>
        <v>820.8</v>
      </c>
      <c r="M65" s="79" t="n">
        <v>0.125</v>
      </c>
      <c r="N65" s="94">
        <f>J65*L65*(1-M65)</f>
        <v>37346.4</v>
      </c>
      <c r="O65" s="78">
        <f>N65/INDEX('Regional Markets'!$E$8:$E$15,MATCH(E65,'Regional Markets'!$B$8:$B$15,0))</f>
        <v>24570</v>
      </c>
      <c r="P65" s="80" t="inlineStr">
        <is>
          <t>Delivered</t>
        </is>
      </c>
      <c r="Q65" s="91" t="n">
        <v>46237</v>
      </c>
      <c r="R65" s="76" t="inlineStr">
        <is>
          <t>Resort project: deliver in two phases as advised by the site manager.</t>
        </is>
      </c>
    </row>
    <row r="66" ht="34.4" customHeight="1">
      <c r="B66" s="90" t="inlineStr">
        <is>
          <t>SO-26-1099</t>
        </is>
      </c>
      <c r="C66" s="91" t="n">
        <v>46209</v>
      </c>
      <c r="D66" s="76" t="inlineStr">
        <is>
          <t>Ashcombe &amp; Reed</t>
        </is>
      </c>
      <c r="E66" s="92" t="inlineStr">
        <is>
          <t>United Kingdom</t>
        </is>
      </c>
      <c r="F66" s="92" t="inlineStr">
        <is>
          <t>Department Store</t>
        </is>
      </c>
      <c r="G66" s="92" t="inlineStr">
        <is>
          <t>LL-KIT-406</t>
        </is>
      </c>
      <c r="H66" s="76" t="str">
        <f>IFERROR(INDEX('Product Catalog'!$C$7:$C$22,MATCH(G66,'Product Catalog'!$B$7:$B$22,0)),"")</f>
        <v>Aska Enamelled Cast Iron Casserole</v>
      </c>
      <c r="I66" s="92" t="str">
        <f>IFERROR(INDEX('Product Catalog'!$D$7:$D$22,MATCH(G66,'Product Catalog'!$B$7:$B$22,0)),"")</f>
        <v>Kitchen &amp; Dining</v>
      </c>
      <c r="J66" s="93" t="n">
        <v>92</v>
      </c>
      <c r="K66" s="80" t="str">
        <f>IFERROR(INDEX('Regional Markets'!$D$8:$D$15,MATCH(E66,'Regional Markets'!$B$8:$B$15,0)),"")</f>
        <v>GBP</v>
      </c>
      <c r="L66" s="94">
        <f>ROUND(INDEX('Product Catalog'!$I$7:$I$22,MATCH(G66,'Product Catalog'!$B$7:$B$22,0))*INDEX('Regional Markets'!$E$8:$E$15,MATCH(E66,'Regional Markets'!$B$8:$B$15,0)),IF(K66="JPY",0,2))</f>
        <v>163.8</v>
      </c>
      <c r="M66" s="79" t="n">
        <v>0.11</v>
      </c>
      <c r="N66" s="94">
        <f>J66*L66*(1-M66)</f>
        <v>13411.944</v>
      </c>
      <c r="O66" s="78">
        <f>N66/INDEX('Regional Markets'!$E$8:$E$15,MATCH(E66,'Regional Markets'!$B$8:$B$15,0))</f>
        <v>17194.8</v>
      </c>
      <c r="P66" s="80" t="inlineStr">
        <is>
          <t>Delivered</t>
        </is>
      </c>
      <c r="Q66" s="91" t="n">
        <v>46251</v>
      </c>
      <c r="R66" s="76" t="inlineStr">
        <is>
          <t>Swing tags with retailer barcode on all textiles.</t>
        </is>
      </c>
    </row>
    <row r="67" ht="47.6" customHeight="1">
      <c r="B67" s="90" t="inlineStr">
        <is>
          <t>SO-26-1100</t>
        </is>
      </c>
      <c r="C67" s="91" t="n">
        <v>46209</v>
      </c>
      <c r="D67" s="76" t="inlineStr">
        <is>
          <t>Oakline Hospitality Group</t>
        </is>
      </c>
      <c r="E67" s="92" t="inlineStr">
        <is>
          <t>United States</t>
        </is>
      </c>
      <c r="F67" s="92" t="inlineStr">
        <is>
          <t>Contract / Hospitality</t>
        </is>
      </c>
      <c r="G67" s="92" t="inlineStr">
        <is>
          <t>LL-FUR-309</t>
        </is>
      </c>
      <c r="H67" s="76" t="str">
        <f>IFERROR(INDEX('Product Catalog'!$C$7:$C$22,MATCH(G67,'Product Catalog'!$B$7:$B$22,0)),"")</f>
        <v>Otto Rattan Lounge Chair</v>
      </c>
      <c r="I67" s="92" t="str">
        <f>IFERROR(INDEX('Product Catalog'!$D$7:$D$22,MATCH(G67,'Product Catalog'!$B$7:$B$22,0)),"")</f>
        <v>Furniture</v>
      </c>
      <c r="J67" s="93" t="n">
        <v>88</v>
      </c>
      <c r="K67" s="80" t="str">
        <f>IFERROR(INDEX('Regional Markets'!$D$8:$D$15,MATCH(E67,'Regional Markets'!$B$8:$B$15,0)),"")</f>
        <v>USD</v>
      </c>
      <c r="L67" s="94">
        <f>ROUND(INDEX('Product Catalog'!$I$7:$I$22,MATCH(G67,'Product Catalog'!$B$7:$B$22,0))*INDEX('Regional Markets'!$E$8:$E$15,MATCH(E67,'Regional Markets'!$B$8:$B$15,0)),IF(K67="JPY",0,2))</f>
        <v>690</v>
      </c>
      <c r="M67" s="79" t="n">
        <v>0.15</v>
      </c>
      <c r="N67" s="94">
        <f>J67*L67*(1-M67)</f>
        <v>51612</v>
      </c>
      <c r="O67" s="78">
        <f>N67/INDEX('Regional Markets'!$E$8:$E$15,MATCH(E67,'Regional Markets'!$B$8:$B$15,0))</f>
        <v>51612</v>
      </c>
      <c r="P67" s="80" t="inlineStr">
        <is>
          <t>Delivered</t>
        </is>
      </c>
      <c r="Q67" s="91" t="n">
        <v>46265</v>
      </c>
      <c r="R67" s="76" t="inlineStr">
        <is>
          <t>Hotel fit-out: all items must arrive before the installation window starts on the ship-by date.</t>
        </is>
      </c>
    </row>
    <row r="68" ht="34.4" customHeight="1">
      <c r="B68" s="90" t="inlineStr">
        <is>
          <t>SO-26-1101</t>
        </is>
      </c>
      <c r="C68" s="91" t="n">
        <v>46210</v>
      </c>
      <c r="D68" s="76" t="inlineStr">
        <is>
          <t>Oakline Hospitality Group</t>
        </is>
      </c>
      <c r="E68" s="92" t="inlineStr">
        <is>
          <t>United States</t>
        </is>
      </c>
      <c r="F68" s="92" t="inlineStr">
        <is>
          <t>Contract / Hospitality</t>
        </is>
      </c>
      <c r="G68" s="92" t="inlineStr">
        <is>
          <t>LL-TXT-214</t>
        </is>
      </c>
      <c r="H68" s="76" t="str">
        <f>IFERROR(INDEX('Product Catalog'!$C$7:$C$22,MATCH(G68,'Product Catalog'!$B$7:$B$22,0)),"")</f>
        <v>Kesa Organic Cotton Towel Set</v>
      </c>
      <c r="I68" s="92" t="str">
        <f>IFERROR(INDEX('Product Catalog'!$D$7:$D$22,MATCH(G68,'Product Catalog'!$B$7:$B$22,0)),"")</f>
        <v>Textiles</v>
      </c>
      <c r="J68" s="93" t="n">
        <v>250</v>
      </c>
      <c r="K68" s="80" t="str">
        <f>IFERROR(INDEX('Regional Markets'!$D$8:$D$15,MATCH(E68,'Regional Markets'!$B$8:$B$15,0)),"")</f>
        <v>USD</v>
      </c>
      <c r="L68" s="94">
        <f>ROUND(INDEX('Product Catalog'!$I$7:$I$22,MATCH(G68,'Product Catalog'!$B$7:$B$22,0))*INDEX('Regional Markets'!$E$8:$E$15,MATCH(E68,'Regional Markets'!$B$8:$B$15,0)),IF(K68="JPY",0,2))</f>
        <v>79</v>
      </c>
      <c r="M68" s="79" t="n">
        <v>0.13</v>
      </c>
      <c r="N68" s="94">
        <f>J68*L68*(1-M68)</f>
        <v>17182.5</v>
      </c>
      <c r="O68" s="78">
        <f>N68/INDEX('Regional Markets'!$E$8:$E$15,MATCH(E68,'Regional Markets'!$B$8:$B$15,0))</f>
        <v>17182.5</v>
      </c>
      <c r="P68" s="80" t="inlineStr">
        <is>
          <t>Cancelled</t>
        </is>
      </c>
      <c r="Q68" s="91" t="n">
        <v>46260</v>
      </c>
      <c r="R68" s="76" t="inlineStr">
        <is>
          <t>Deliver to site with a lift-gate truck; the building has no loading dock.</t>
        </is>
      </c>
    </row>
    <row r="69" ht="47.6" customHeight="1">
      <c r="B69" s="90" t="inlineStr">
        <is>
          <t>SO-26-1102</t>
        </is>
      </c>
      <c r="C69" s="91" t="n">
        <v>46210</v>
      </c>
      <c r="D69" s="76" t="inlineStr">
        <is>
          <t>Oakline Hospitality Group</t>
        </is>
      </c>
      <c r="E69" s="92" t="inlineStr">
        <is>
          <t>United States</t>
        </is>
      </c>
      <c r="F69" s="92" t="inlineStr">
        <is>
          <t>Contract / Hospitality</t>
        </is>
      </c>
      <c r="G69" s="92" t="inlineStr">
        <is>
          <t>LL-TXT-214</t>
        </is>
      </c>
      <c r="H69" s="76" t="str">
        <f>IFERROR(INDEX('Product Catalog'!$C$7:$C$22,MATCH(G69,'Product Catalog'!$B$7:$B$22,0)),"")</f>
        <v>Kesa Organic Cotton Towel Set</v>
      </c>
      <c r="I69" s="92" t="str">
        <f>IFERROR(INDEX('Product Catalog'!$D$7:$D$22,MATCH(G69,'Product Catalog'!$B$7:$B$22,0)),"")</f>
        <v>Textiles</v>
      </c>
      <c r="J69" s="93" t="n">
        <v>230</v>
      </c>
      <c r="K69" s="80" t="str">
        <f>IFERROR(INDEX('Regional Markets'!$D$8:$D$15,MATCH(E69,'Regional Markets'!$B$8:$B$15,0)),"")</f>
        <v>USD</v>
      </c>
      <c r="L69" s="94">
        <f>ROUND(INDEX('Product Catalog'!$I$7:$I$22,MATCH(G69,'Product Catalog'!$B$7:$B$22,0))*INDEX('Regional Markets'!$E$8:$E$15,MATCH(E69,'Regional Markets'!$B$8:$B$15,0)),IF(K69="JPY",0,2))</f>
        <v>79</v>
      </c>
      <c r="M69" s="79" t="n">
        <v>0.16</v>
      </c>
      <c r="N69" s="94">
        <f>J69*L69*(1-M69)</f>
        <v>15262.8</v>
      </c>
      <c r="O69" s="78">
        <f>N69/INDEX('Regional Markets'!$E$8:$E$15,MATCH(E69,'Regional Markets'!$B$8:$B$15,0))</f>
        <v>15262.8</v>
      </c>
      <c r="P69" s="80" t="inlineStr">
        <is>
          <t>Delivered</t>
        </is>
      </c>
      <c r="Q69" s="91" t="n">
        <v>46259</v>
      </c>
      <c r="R69" s="76" t="inlineStr">
        <is>
          <t>Hotel fit-out: all items must arrive before the installation window starts on the ship-by date.</t>
        </is>
      </c>
    </row>
    <row r="70" ht="34.4" customHeight="1">
      <c r="B70" s="90" t="inlineStr">
        <is>
          <t>SO-26-1103</t>
        </is>
      </c>
      <c r="C70" s="91" t="n">
        <v>46212</v>
      </c>
      <c r="D70" s="76" t="inlineStr">
        <is>
          <t>Northbay Home Supply</t>
        </is>
      </c>
      <c r="E70" s="92" t="inlineStr">
        <is>
          <t>Canada</t>
        </is>
      </c>
      <c r="F70" s="92" t="inlineStr">
        <is>
          <t>Department Store</t>
        </is>
      </c>
      <c r="G70" s="92" t="inlineStr">
        <is>
          <t>LL-KIT-406</t>
        </is>
      </c>
      <c r="H70" s="76" t="str">
        <f>IFERROR(INDEX('Product Catalog'!$C$7:$C$22,MATCH(G70,'Product Catalog'!$B$7:$B$22,0)),"")</f>
        <v>Aska Enamelled Cast Iron Casserole</v>
      </c>
      <c r="I70" s="92" t="str">
        <f>IFERROR(INDEX('Product Catalog'!$D$7:$D$22,MATCH(G70,'Product Catalog'!$B$7:$B$22,0)),"")</f>
        <v>Kitchen &amp; Dining</v>
      </c>
      <c r="J70" s="93" t="n">
        <v>76</v>
      </c>
      <c r="K70" s="80" t="str">
        <f>IFERROR(INDEX('Regional Markets'!$D$8:$D$15,MATCH(E70,'Regional Markets'!$B$8:$B$15,0)),"")</f>
        <v>CAD</v>
      </c>
      <c r="L70" s="94">
        <f>ROUND(INDEX('Product Catalog'!$I$7:$I$22,MATCH(G70,'Product Catalog'!$B$7:$B$22,0))*INDEX('Regional Markets'!$E$8:$E$15,MATCH(E70,'Regional Markets'!$B$8:$B$15,0)),IF(K70="JPY",0,2))</f>
        <v>287.7</v>
      </c>
      <c r="M70" s="79" t="n">
        <v>0.125</v>
      </c>
      <c r="N70" s="94">
        <f>J70*L70*(1-M70)</f>
        <v>19132.05</v>
      </c>
      <c r="O70" s="78">
        <f>N70/INDEX('Regional Markets'!$E$8:$E$15,MATCH(E70,'Regional Markets'!$B$8:$B$15,0))</f>
        <v>13965</v>
      </c>
      <c r="P70" s="80" t="inlineStr">
        <is>
          <t>Delivered</t>
        </is>
      </c>
      <c r="Q70" s="91" t="n">
        <v>46239</v>
      </c>
      <c r="R70" s="76" t="inlineStr">
        <is>
          <t>Consolidate with other open orders for Northbay where possible.</t>
        </is>
      </c>
    </row>
    <row r="71" ht="34.4" customHeight="1">
      <c r="B71" s="90" t="inlineStr">
        <is>
          <t>SO-26-1104</t>
        </is>
      </c>
      <c r="C71" s="91" t="n">
        <v>46212</v>
      </c>
      <c r="D71" s="76" t="inlineStr">
        <is>
          <t>Coastal Edit Hospitality</t>
        </is>
      </c>
      <c r="E71" s="92" t="inlineStr">
        <is>
          <t>Australia</t>
        </is>
      </c>
      <c r="F71" s="92" t="inlineStr">
        <is>
          <t>Contract / Hospitality</t>
        </is>
      </c>
      <c r="G71" s="92" t="inlineStr">
        <is>
          <t>LL-FUR-309</t>
        </is>
      </c>
      <c r="H71" s="76" t="str">
        <f>IFERROR(INDEX('Product Catalog'!$C$7:$C$22,MATCH(G71,'Product Catalog'!$B$7:$B$22,0)),"")</f>
        <v>Otto Rattan Lounge Chair</v>
      </c>
      <c r="I71" s="92" t="str">
        <f>IFERROR(INDEX('Product Catalog'!$D$7:$D$22,MATCH(G71,'Product Catalog'!$B$7:$B$22,0)),"")</f>
        <v>Furniture</v>
      </c>
      <c r="J71" s="93" t="n">
        <v>96</v>
      </c>
      <c r="K71" s="80" t="str">
        <f>IFERROR(INDEX('Regional Markets'!$D$8:$D$15,MATCH(E71,'Regional Markets'!$B$8:$B$15,0)),"")</f>
        <v>AUD</v>
      </c>
      <c r="L71" s="94">
        <f>ROUND(INDEX('Product Catalog'!$I$7:$I$22,MATCH(G71,'Product Catalog'!$B$7:$B$22,0))*INDEX('Regional Markets'!$E$8:$E$15,MATCH(E71,'Regional Markets'!$B$8:$B$15,0)),IF(K71="JPY",0,2))</f>
        <v>1048.8</v>
      </c>
      <c r="M71" s="79" t="n">
        <v>0.145</v>
      </c>
      <c r="N71" s="94">
        <f>J71*L71*(1-M71)</f>
        <v>86085.504</v>
      </c>
      <c r="O71" s="78">
        <f>N71/INDEX('Regional Markets'!$E$8:$E$15,MATCH(E71,'Regional Markets'!$B$8:$B$15,0))</f>
        <v>56635.2</v>
      </c>
      <c r="P71" s="80" t="inlineStr">
        <is>
          <t>Delivered</t>
        </is>
      </c>
      <c r="Q71" s="91" t="n">
        <v>46244</v>
      </c>
      <c r="R71" s="76" t="inlineStr">
        <is>
          <t>Include a 2% overage of cushion covers and towels for replacements.</t>
        </is>
      </c>
    </row>
    <row r="72" ht="21.2" customHeight="1">
      <c r="B72" s="90" t="inlineStr">
        <is>
          <t>SO-26-1105</t>
        </is>
      </c>
      <c r="C72" s="91" t="n">
        <v>46213</v>
      </c>
      <c r="D72" s="76" t="inlineStr">
        <is>
          <t>Kew Lane Living</t>
        </is>
      </c>
      <c r="E72" s="92" t="inlineStr">
        <is>
          <t>United Kingdom</t>
        </is>
      </c>
      <c r="F72" s="92" t="inlineStr">
        <is>
          <t>Retail Partner</t>
        </is>
      </c>
      <c r="G72" s="92" t="inlineStr">
        <is>
          <t>LL-DEC-507</t>
        </is>
      </c>
      <c r="H72" s="76" t="str">
        <f>IFERROR(INDEX('Product Catalog'!$C$7:$C$22,MATCH(G72,'Product Catalog'!$B$7:$B$22,0)),"")</f>
        <v>Tarn Wool Area Rug</v>
      </c>
      <c r="I72" s="92" t="str">
        <f>IFERROR(INDEX('Product Catalog'!$D$7:$D$22,MATCH(G72,'Product Catalog'!$B$7:$B$22,0)),"")</f>
        <v>Decor &amp; Rugs</v>
      </c>
      <c r="J72" s="93" t="n">
        <v>52</v>
      </c>
      <c r="K72" s="80" t="str">
        <f>IFERROR(INDEX('Regional Markets'!$D$8:$D$15,MATCH(E72,'Regional Markets'!$B$8:$B$15,0)),"")</f>
        <v>GBP</v>
      </c>
      <c r="L72" s="94">
        <f>ROUND(INDEX('Product Catalog'!$I$7:$I$22,MATCH(G72,'Product Catalog'!$B$7:$B$22,0))*INDEX('Regional Markets'!$E$8:$E$15,MATCH(E72,'Regional Markets'!$B$8:$B$15,0)),IF(K72="JPY",0,2))</f>
        <v>421.2</v>
      </c>
      <c r="M72" s="79" t="n">
        <v>0.07000000000000001</v>
      </c>
      <c r="N72" s="94">
        <f>J72*L72*(1-M72)</f>
        <v>20369.232</v>
      </c>
      <c r="O72" s="78">
        <f>N72/INDEX('Regional Markets'!$E$8:$E$15,MATCH(E72,'Regional Markets'!$B$8:$B$15,0))</f>
        <v>26114.4</v>
      </c>
      <c r="P72" s="80" t="inlineStr">
        <is>
          <t>Delivered</t>
        </is>
      </c>
      <c r="Q72" s="91" t="n">
        <v>46239</v>
      </c>
      <c r="R72" s="76" t="inlineStr">
        <is>
          <t>Standard terms; no special handling.</t>
        </is>
      </c>
    </row>
    <row r="73" ht="47.6" customHeight="1">
      <c r="B73" s="90" t="inlineStr">
        <is>
          <t>SO-26-1106</t>
        </is>
      </c>
      <c r="C73" s="91" t="n">
        <v>46217</v>
      </c>
      <c r="D73" s="76" t="inlineStr">
        <is>
          <t>Hem &amp; Sjö Distribution AB</t>
        </is>
      </c>
      <c r="E73" s="92" t="inlineStr">
        <is>
          <t>Sweden</t>
        </is>
      </c>
      <c r="F73" s="92" t="inlineStr">
        <is>
          <t>Distributor</t>
        </is>
      </c>
      <c r="G73" s="92" t="inlineStr">
        <is>
          <t>LL-KIT-406</t>
        </is>
      </c>
      <c r="H73" s="76" t="str">
        <f>IFERROR(INDEX('Product Catalog'!$C$7:$C$22,MATCH(G73,'Product Catalog'!$B$7:$B$22,0)),"")</f>
        <v>Aska Enamelled Cast Iron Casserole</v>
      </c>
      <c r="I73" s="92" t="str">
        <f>IFERROR(INDEX('Product Catalog'!$D$7:$D$22,MATCH(G73,'Product Catalog'!$B$7:$B$22,0)),"")</f>
        <v>Kitchen &amp; Dining</v>
      </c>
      <c r="J73" s="93" t="n">
        <v>76</v>
      </c>
      <c r="K73" s="80" t="str">
        <f>IFERROR(INDEX('Regional Markets'!$D$8:$D$15,MATCH(E73,'Regional Markets'!$B$8:$B$15,0)),"")</f>
        <v>SEK</v>
      </c>
      <c r="L73" s="94">
        <f>ROUND(INDEX('Product Catalog'!$I$7:$I$22,MATCH(G73,'Product Catalog'!$B$7:$B$22,0))*INDEX('Regional Markets'!$E$8:$E$15,MATCH(E73,'Regional Markets'!$B$8:$B$15,0)),IF(K73="JPY",0,2))</f>
        <v>2226</v>
      </c>
      <c r="M73" s="79" t="n">
        <v>0.15</v>
      </c>
      <c r="N73" s="94">
        <f>J73*L73*(1-M73)</f>
        <v>143799.6</v>
      </c>
      <c r="O73" s="78">
        <f>N73/INDEX('Regional Markets'!$E$8:$E$15,MATCH(E73,'Regional Markets'!$B$8:$B$15,0))</f>
        <v>13566</v>
      </c>
      <c r="P73" s="80" t="inlineStr">
        <is>
          <t>Delivered</t>
        </is>
      </c>
      <c r="Q73" s="91" t="n">
        <v>46246</v>
      </c>
      <c r="R73" s="76" t="inlineStr">
        <is>
          <t>Monthly consolidated road freight. Attach FSC certificates to the shipping documents.</t>
        </is>
      </c>
    </row>
    <row r="74" ht="34.4" customHeight="1">
      <c r="B74" s="90" t="inlineStr">
        <is>
          <t>SO-26-1107</t>
        </is>
      </c>
      <c r="C74" s="91" t="n">
        <v>46225</v>
      </c>
      <c r="D74" s="76" t="inlineStr">
        <is>
          <t>Westfield Living Co.</t>
        </is>
      </c>
      <c r="E74" s="92" t="inlineStr">
        <is>
          <t>United States</t>
        </is>
      </c>
      <c r="F74" s="92" t="inlineStr">
        <is>
          <t>Department Store</t>
        </is>
      </c>
      <c r="G74" s="92" t="inlineStr">
        <is>
          <t>LL-DEC-507</t>
        </is>
      </c>
      <c r="H74" s="76" t="str">
        <f>IFERROR(INDEX('Product Catalog'!$C$7:$C$22,MATCH(G74,'Product Catalog'!$B$7:$B$22,0)),"")</f>
        <v>Tarn Wool Area Rug</v>
      </c>
      <c r="I74" s="92" t="str">
        <f>IFERROR(INDEX('Product Catalog'!$D$7:$D$22,MATCH(G74,'Product Catalog'!$B$7:$B$22,0)),"")</f>
        <v>Decor &amp; Rugs</v>
      </c>
      <c r="J74" s="93" t="n">
        <v>28</v>
      </c>
      <c r="K74" s="80" t="str">
        <f>IFERROR(INDEX('Regional Markets'!$D$8:$D$15,MATCH(E74,'Regional Markets'!$B$8:$B$15,0)),"")</f>
        <v>USD</v>
      </c>
      <c r="L74" s="94">
        <f>ROUND(INDEX('Product Catalog'!$I$7:$I$22,MATCH(G74,'Product Catalog'!$B$7:$B$22,0))*INDEX('Regional Markets'!$E$8:$E$15,MATCH(E74,'Regional Markets'!$B$8:$B$15,0)),IF(K74="JPY",0,2))</f>
        <v>540</v>
      </c>
      <c r="M74" s="79" t="n">
        <v>0.11</v>
      </c>
      <c r="N74" s="94">
        <f>J74*L74*(1-M74)</f>
        <v>13456.8</v>
      </c>
      <c r="O74" s="78">
        <f>N74/INDEX('Regional Markets'!$E$8:$E$15,MATCH(E74,'Regional Markets'!$B$8:$B$15,0))</f>
        <v>13456.8</v>
      </c>
      <c r="P74" s="80" t="inlineStr">
        <is>
          <t>Delivered</t>
        </is>
      </c>
      <c r="Q74" s="91" t="n">
        <v>46267</v>
      </c>
      <c r="R74" s="76" t="inlineStr">
        <is>
          <t>EDI 856 advance ship notice must be transmitted before dispatch.</t>
        </is>
      </c>
    </row>
    <row r="75" ht="34.4" customHeight="1">
      <c r="B75" s="90" t="inlineStr">
        <is>
          <t>SO-26-1108</t>
        </is>
      </c>
      <c r="C75" s="91" t="n">
        <v>46230</v>
      </c>
      <c r="D75" s="76" t="inlineStr">
        <is>
          <t>Nestwell Online</t>
        </is>
      </c>
      <c r="E75" s="92" t="inlineStr">
        <is>
          <t>United States</t>
        </is>
      </c>
      <c r="F75" s="92" t="inlineStr">
        <is>
          <t>E-commerce</t>
        </is>
      </c>
      <c r="G75" s="92" t="inlineStr">
        <is>
          <t>LL-LGT-104</t>
        </is>
      </c>
      <c r="H75" s="76" t="str">
        <f>IFERROR(INDEX('Product Catalog'!$C$7:$C$22,MATCH(G75,'Product Catalog'!$B$7:$B$22,0)),"")</f>
        <v>Sora Ceramic Table Lamp</v>
      </c>
      <c r="I75" s="92" t="str">
        <f>IFERROR(INDEX('Product Catalog'!$D$7:$D$22,MATCH(G75,'Product Catalog'!$B$7:$B$22,0)),"")</f>
        <v>Lighting</v>
      </c>
      <c r="J75" s="93" t="n">
        <v>156</v>
      </c>
      <c r="K75" s="80" t="str">
        <f>IFERROR(INDEX('Regional Markets'!$D$8:$D$15,MATCH(E75,'Regional Markets'!$B$8:$B$15,0)),"")</f>
        <v>USD</v>
      </c>
      <c r="L75" s="94">
        <f>ROUND(INDEX('Product Catalog'!$I$7:$I$22,MATCH(G75,'Product Catalog'!$B$7:$B$22,0))*INDEX('Regional Markets'!$E$8:$E$15,MATCH(E75,'Regional Markets'!$B$8:$B$15,0)),IF(K75="JPY",0,2))</f>
        <v>149</v>
      </c>
      <c r="M75" s="79" t="n">
        <v>0.03</v>
      </c>
      <c r="N75" s="94">
        <f>J75*L75*(1-M75)</f>
        <v>22546.68</v>
      </c>
      <c r="O75" s="78">
        <f>N75/INDEX('Regional Markets'!$E$8:$E$15,MATCH(E75,'Regional Markets'!$B$8:$B$15,0))</f>
        <v>22546.68</v>
      </c>
      <c r="P75" s="80" t="inlineStr">
        <is>
          <t>Delivered</t>
        </is>
      </c>
      <c r="Q75" s="91" t="n">
        <v>46262</v>
      </c>
      <c r="R75" s="76" t="inlineStr">
        <is>
          <t>Drop-ship to end customers. No pricing or invoices inside parcels.</t>
        </is>
      </c>
    </row>
    <row r="76" ht="34.4" customHeight="1">
      <c r="B76" s="90" t="inlineStr">
        <is>
          <t>SO-26-1109</t>
        </is>
      </c>
      <c r="C76" s="91" t="n">
        <v>46234</v>
      </c>
      <c r="D76" s="76" t="inlineStr">
        <is>
          <t>Nordlicht Interiors</t>
        </is>
      </c>
      <c r="E76" s="92" t="inlineStr">
        <is>
          <t>Germany</t>
        </is>
      </c>
      <c r="F76" s="92" t="inlineStr">
        <is>
          <t>E-commerce</t>
        </is>
      </c>
      <c r="G76" s="92" t="inlineStr">
        <is>
          <t>LL-TXT-214</t>
        </is>
      </c>
      <c r="H76" s="76" t="str">
        <f>IFERROR(INDEX('Product Catalog'!$C$7:$C$22,MATCH(G76,'Product Catalog'!$B$7:$B$22,0)),"")</f>
        <v>Kesa Organic Cotton Towel Set</v>
      </c>
      <c r="I76" s="92" t="str">
        <f>IFERROR(INDEX('Product Catalog'!$D$7:$D$22,MATCH(G76,'Product Catalog'!$B$7:$B$22,0)),"")</f>
        <v>Textiles</v>
      </c>
      <c r="J76" s="93" t="n">
        <v>168</v>
      </c>
      <c r="K76" s="80" t="str">
        <f>IFERROR(INDEX('Regional Markets'!$D$8:$D$15,MATCH(E76,'Regional Markets'!$B$8:$B$15,0)),"")</f>
        <v>EUR</v>
      </c>
      <c r="L76" s="94">
        <f>ROUND(INDEX('Product Catalog'!$I$7:$I$22,MATCH(G76,'Product Catalog'!$B$7:$B$22,0))*INDEX('Regional Markets'!$E$8:$E$15,MATCH(E76,'Regional Markets'!$B$8:$B$15,0)),IF(K76="JPY",0,2))</f>
        <v>72.68</v>
      </c>
      <c r="M76" s="79" t="n">
        <v>0.055</v>
      </c>
      <c r="N76" s="94">
        <f>J76*L76*(1-M76)</f>
        <v>11538.6768</v>
      </c>
      <c r="O76" s="78">
        <f>N76/INDEX('Regional Markets'!$E$8:$E$15,MATCH(E76,'Regional Markets'!$B$8:$B$15,0))</f>
        <v>12542.04</v>
      </c>
      <c r="P76" s="80" t="inlineStr">
        <is>
          <t>Delivered</t>
        </is>
      </c>
      <c r="Q76" s="91" t="n">
        <v>46265</v>
      </c>
      <c r="R76" s="76" t="inlineStr">
        <is>
          <t>German product data sheets needed before goods can be listed online.</t>
        </is>
      </c>
    </row>
    <row r="77" ht="34.4" customHeight="1">
      <c r="B77" s="90" t="inlineStr">
        <is>
          <t>SO-26-1110</t>
        </is>
      </c>
      <c r="C77" s="91" t="n">
        <v>46234</v>
      </c>
      <c r="D77" s="76" t="inlineStr">
        <is>
          <t>Galeries Ombre</t>
        </is>
      </c>
      <c r="E77" s="92" t="inlineStr">
        <is>
          <t>France</t>
        </is>
      </c>
      <c r="F77" s="92" t="inlineStr">
        <is>
          <t>Department Store</t>
        </is>
      </c>
      <c r="G77" s="92" t="inlineStr">
        <is>
          <t>LL-KIT-410</t>
        </is>
      </c>
      <c r="H77" s="76" t="str">
        <f>IFERROR(INDEX('Product Catalog'!$C$7:$C$22,MATCH(G77,'Product Catalog'!$B$7:$B$22,0)),"")</f>
        <v>Rune Acacia Serving Board</v>
      </c>
      <c r="I77" s="92" t="str">
        <f>IFERROR(INDEX('Product Catalog'!$D$7:$D$22,MATCH(G77,'Product Catalog'!$B$7:$B$22,0)),"")</f>
        <v>Kitchen &amp; Dining</v>
      </c>
      <c r="J77" s="93" t="n">
        <v>624</v>
      </c>
      <c r="K77" s="80" t="str">
        <f>IFERROR(INDEX('Regional Markets'!$D$8:$D$15,MATCH(E77,'Regional Markets'!$B$8:$B$15,0)),"")</f>
        <v>EUR</v>
      </c>
      <c r="L77" s="94">
        <f>ROUND(INDEX('Product Catalog'!$I$7:$I$22,MATCH(G77,'Product Catalog'!$B$7:$B$22,0))*INDEX('Regional Markets'!$E$8:$E$15,MATCH(E77,'Regional Markets'!$B$8:$B$15,0)),IF(K77="JPY",0,2))</f>
        <v>53.36</v>
      </c>
      <c r="M77" s="79" t="n">
        <v>0.095</v>
      </c>
      <c r="N77" s="94">
        <f>J77*L77*(1-M77)</f>
        <v>30133.4592</v>
      </c>
      <c r="O77" s="78">
        <f>N77/INDEX('Regional Markets'!$E$8:$E$15,MATCH(E77,'Regional Markets'!$B$8:$B$15,0))</f>
        <v>32753.76</v>
      </c>
      <c r="P77" s="80" t="inlineStr">
        <is>
          <t>Delivered</t>
        </is>
      </c>
      <c r="Q77" s="91" t="n">
        <v>46275</v>
      </c>
      <c r="R77" s="76" t="inlineStr">
        <is>
          <t>Retailer quality inspection on arrival (5% sample check).</t>
        </is>
      </c>
    </row>
    <row r="78" ht="34.4" customHeight="1">
      <c r="B78" s="90" t="inlineStr">
        <is>
          <t>SO-26-1111</t>
        </is>
      </c>
      <c r="C78" s="91" t="n">
        <v>46237</v>
      </c>
      <c r="D78" s="76" t="inlineStr">
        <is>
          <t>Nordlicht Interiors</t>
        </is>
      </c>
      <c r="E78" s="92" t="inlineStr">
        <is>
          <t>Germany</t>
        </is>
      </c>
      <c r="F78" s="92" t="inlineStr">
        <is>
          <t>E-commerce</t>
        </is>
      </c>
      <c r="G78" s="92" t="inlineStr">
        <is>
          <t>LL-TXT-205</t>
        </is>
      </c>
      <c r="H78" s="76" t="str">
        <f>IFERROR(INDEX('Product Catalog'!$C$7:$C$22,MATCH(G78,'Product Catalog'!$B$7:$B$22,0)),"")</f>
        <v>Fell Merino Wool Throw</v>
      </c>
      <c r="I78" s="92" t="str">
        <f>IFERROR(INDEX('Product Catalog'!$D$7:$D$22,MATCH(G78,'Product Catalog'!$B$7:$B$22,0)),"")</f>
        <v>Textiles</v>
      </c>
      <c r="J78" s="93" t="n">
        <v>168</v>
      </c>
      <c r="K78" s="80" t="str">
        <f>IFERROR(INDEX('Regional Markets'!$D$8:$D$15,MATCH(E78,'Regional Markets'!$B$8:$B$15,0)),"")</f>
        <v>EUR</v>
      </c>
      <c r="L78" s="94">
        <f>ROUND(INDEX('Product Catalog'!$I$7:$I$22,MATCH(G78,'Product Catalog'!$B$7:$B$22,0))*INDEX('Regional Markets'!$E$8:$E$15,MATCH(E78,'Regional Markets'!$B$8:$B$15,0)),IF(K78="JPY",0,2))</f>
        <v>118.68</v>
      </c>
      <c r="M78" s="79" t="n">
        <v>0.045</v>
      </c>
      <c r="N78" s="94">
        <f>J78*L78*(1-M78)</f>
        <v>19041.0192</v>
      </c>
      <c r="O78" s="78">
        <f>N78/INDEX('Regional Markets'!$E$8:$E$15,MATCH(E78,'Regional Markets'!$B$8:$B$15,0))</f>
        <v>20696.76</v>
      </c>
      <c r="P78" s="80" t="inlineStr">
        <is>
          <t>On Hold</t>
        </is>
      </c>
      <c r="Q78" s="91" t="n">
        <v>46262</v>
      </c>
      <c r="R78" s="76" t="inlineStr">
        <is>
          <t>German product data sheets needed before goods can be listed online.</t>
        </is>
      </c>
    </row>
    <row r="79" ht="34.4" customHeight="1">
      <c r="B79" s="90" t="inlineStr">
        <is>
          <t>SO-26-1112</t>
        </is>
      </c>
      <c r="C79" s="91" t="n">
        <v>46237</v>
      </c>
      <c r="D79" s="76" t="inlineStr">
        <is>
          <t>Wohnhaus Berger GmbH</t>
        </is>
      </c>
      <c r="E79" s="92" t="inlineStr">
        <is>
          <t>Germany</t>
        </is>
      </c>
      <c r="F79" s="92" t="inlineStr">
        <is>
          <t>Retail Partner</t>
        </is>
      </c>
      <c r="G79" s="92" t="inlineStr">
        <is>
          <t>LL-KIT-410</t>
        </is>
      </c>
      <c r="H79" s="76" t="str">
        <f>IFERROR(INDEX('Product Catalog'!$C$7:$C$22,MATCH(G79,'Product Catalog'!$B$7:$B$22,0)),"")</f>
        <v>Rune Acacia Serving Board</v>
      </c>
      <c r="I79" s="92" t="str">
        <f>IFERROR(INDEX('Product Catalog'!$D$7:$D$22,MATCH(G79,'Product Catalog'!$B$7:$B$22,0)),"")</f>
        <v>Kitchen &amp; Dining</v>
      </c>
      <c r="J79" s="93" t="n">
        <v>360</v>
      </c>
      <c r="K79" s="80" t="str">
        <f>IFERROR(INDEX('Regional Markets'!$D$8:$D$15,MATCH(E79,'Regional Markets'!$B$8:$B$15,0)),"")</f>
        <v>EUR</v>
      </c>
      <c r="L79" s="94">
        <f>ROUND(INDEX('Product Catalog'!$I$7:$I$22,MATCH(G79,'Product Catalog'!$B$7:$B$22,0))*INDEX('Regional Markets'!$E$8:$E$15,MATCH(E79,'Regional Markets'!$B$8:$B$15,0)),IF(K79="JPY",0,2))</f>
        <v>53.36</v>
      </c>
      <c r="M79" s="79" t="n">
        <v>0.095</v>
      </c>
      <c r="N79" s="94">
        <f>J79*L79*(1-M79)</f>
        <v>17384.688</v>
      </c>
      <c r="O79" s="78">
        <f>N79/INDEX('Regional Markets'!$E$8:$E$15,MATCH(E79,'Regional Markets'!$B$8:$B$15,0))</f>
        <v>18896.4</v>
      </c>
      <c r="P79" s="80" t="inlineStr">
        <is>
          <t>Delivered</t>
        </is>
      </c>
      <c r="Q79" s="91" t="n">
        <v>46265</v>
      </c>
      <c r="R79" s="76" t="inlineStr">
        <is>
          <t>Delivery appointment required; maximum pallet height 1.8 m.</t>
        </is>
      </c>
    </row>
    <row r="80" ht="34.4" customHeight="1">
      <c r="B80" s="90" t="inlineStr">
        <is>
          <t>SO-26-1113</t>
        </is>
      </c>
      <c r="C80" s="91" t="n">
        <v>46237</v>
      </c>
      <c r="D80" s="76" t="inlineStr">
        <is>
          <t>Maple Street Interiors</t>
        </is>
      </c>
      <c r="E80" s="92" t="inlineStr">
        <is>
          <t>Canada</t>
        </is>
      </c>
      <c r="F80" s="92" t="inlineStr">
        <is>
          <t>Retail Partner</t>
        </is>
      </c>
      <c r="G80" s="92" t="inlineStr">
        <is>
          <t>LL-TXT-205</t>
        </is>
      </c>
      <c r="H80" s="76" t="str">
        <f>IFERROR(INDEX('Product Catalog'!$C$7:$C$22,MATCH(G80,'Product Catalog'!$B$7:$B$22,0)),"")</f>
        <v>Fell Merino Wool Throw</v>
      </c>
      <c r="I80" s="92" t="str">
        <f>IFERROR(INDEX('Product Catalog'!$D$7:$D$22,MATCH(G80,'Product Catalog'!$B$7:$B$22,0)),"")</f>
        <v>Textiles</v>
      </c>
      <c r="J80" s="93" t="n">
        <v>300</v>
      </c>
      <c r="K80" s="80" t="str">
        <f>IFERROR(INDEX('Regional Markets'!$D$8:$D$15,MATCH(E80,'Regional Markets'!$B$8:$B$15,0)),"")</f>
        <v>CAD</v>
      </c>
      <c r="L80" s="94">
        <f>ROUND(INDEX('Product Catalog'!$I$7:$I$22,MATCH(G80,'Product Catalog'!$B$7:$B$22,0))*INDEX('Regional Markets'!$E$8:$E$15,MATCH(E80,'Regional Markets'!$B$8:$B$15,0)),IF(K80="JPY",0,2))</f>
        <v>176.73</v>
      </c>
      <c r="M80" s="79" t="n">
        <v>0.08500000000000001</v>
      </c>
      <c r="N80" s="94">
        <f>J80*L80*(1-M80)</f>
        <v>48512.385</v>
      </c>
      <c r="O80" s="78">
        <f>N80/INDEX('Regional Markets'!$E$8:$E$15,MATCH(E80,'Regional Markets'!$B$8:$B$15,0))</f>
        <v>35410.5</v>
      </c>
      <c r="P80" s="80" t="inlineStr">
        <is>
          <t>In Transit</t>
        </is>
      </c>
      <c r="Q80" s="91" t="n">
        <v>46266</v>
      </c>
      <c r="R80" s="76" t="inlineStr">
        <is>
          <t>Ship DDP Toronto. Email customs broker documents 72 hours before arrival.</t>
        </is>
      </c>
    </row>
    <row r="81" ht="34.4" customHeight="1">
      <c r="B81" s="90" t="inlineStr">
        <is>
          <t>SO-26-1114</t>
        </is>
      </c>
      <c r="C81" s="91" t="n">
        <v>46237</v>
      </c>
      <c r="D81" s="76" t="inlineStr">
        <is>
          <t>Hotel Seeblick Gruppe</t>
        </is>
      </c>
      <c r="E81" s="92" t="inlineStr">
        <is>
          <t>Germany</t>
        </is>
      </c>
      <c r="F81" s="92" t="inlineStr">
        <is>
          <t>Contract / Hospitality</t>
        </is>
      </c>
      <c r="G81" s="92" t="inlineStr">
        <is>
          <t>LL-FUR-305</t>
        </is>
      </c>
      <c r="H81" s="76" t="str">
        <f>IFERROR(INDEX('Product Catalog'!$C$7:$C$22,MATCH(G81,'Product Catalog'!$B$7:$B$22,0)),"")</f>
        <v>Brenna Extendable Oak Dining Table</v>
      </c>
      <c r="I81" s="92" t="str">
        <f>IFERROR(INDEX('Product Catalog'!$D$7:$D$22,MATCH(G81,'Product Catalog'!$B$7:$B$22,0)),"")</f>
        <v>Furniture</v>
      </c>
      <c r="J81" s="93" t="n">
        <v>40</v>
      </c>
      <c r="K81" s="80" t="str">
        <f>IFERROR(INDEX('Regional Markets'!$D$8:$D$15,MATCH(E81,'Regional Markets'!$B$8:$B$15,0)),"")</f>
        <v>EUR</v>
      </c>
      <c r="L81" s="94">
        <f>ROUND(INDEX('Product Catalog'!$I$7:$I$22,MATCH(G81,'Product Catalog'!$B$7:$B$22,0))*INDEX('Regional Markets'!$E$8:$E$15,MATCH(E81,'Regional Markets'!$B$8:$B$15,0)),IF(K81="JPY",0,2))</f>
        <v>1370.8</v>
      </c>
      <c r="M81" s="79" t="n">
        <v>0.195</v>
      </c>
      <c r="N81" s="94">
        <f>J81*L81*(1-M81)</f>
        <v>44139.76</v>
      </c>
      <c r="O81" s="78">
        <f>N81/INDEX('Regional Markets'!$E$8:$E$15,MATCH(E81,'Regional Markets'!$B$8:$B$15,0))</f>
        <v>47978</v>
      </c>
      <c r="P81" s="80" t="inlineStr">
        <is>
          <t>Delivered</t>
        </is>
      </c>
      <c r="Q81" s="91" t="n">
        <v>46293</v>
      </c>
      <c r="R81" s="76" t="inlineStr">
        <is>
          <t>Deliver in two drops, one per hotel property, as listed on the purchase order.</t>
        </is>
      </c>
    </row>
    <row r="82" ht="34.4" customHeight="1">
      <c r="B82" s="90" t="inlineStr">
        <is>
          <t>SO-26-1115</t>
        </is>
      </c>
      <c r="C82" s="91" t="n">
        <v>46244</v>
      </c>
      <c r="D82" s="76" t="inlineStr">
        <is>
          <t>Maple Street Interiors</t>
        </is>
      </c>
      <c r="E82" s="92" t="inlineStr">
        <is>
          <t>Canada</t>
        </is>
      </c>
      <c r="F82" s="92" t="inlineStr">
        <is>
          <t>Retail Partner</t>
        </is>
      </c>
      <c r="G82" s="92" t="inlineStr">
        <is>
          <t>LL-FUR-309</t>
        </is>
      </c>
      <c r="H82" s="76" t="str">
        <f>IFERROR(INDEX('Product Catalog'!$C$7:$C$22,MATCH(G82,'Product Catalog'!$B$7:$B$22,0)),"")</f>
        <v>Otto Rattan Lounge Chair</v>
      </c>
      <c r="I82" s="92" t="str">
        <f>IFERROR(INDEX('Product Catalog'!$D$7:$D$22,MATCH(G82,'Product Catalog'!$B$7:$B$22,0)),"")</f>
        <v>Furniture</v>
      </c>
      <c r="J82" s="93" t="n">
        <v>32</v>
      </c>
      <c r="K82" s="80" t="str">
        <f>IFERROR(INDEX('Regional Markets'!$D$8:$D$15,MATCH(E82,'Regional Markets'!$B$8:$B$15,0)),"")</f>
        <v>CAD</v>
      </c>
      <c r="L82" s="94">
        <f>ROUND(INDEX('Product Catalog'!$I$7:$I$22,MATCH(G82,'Product Catalog'!$B$7:$B$22,0))*INDEX('Regional Markets'!$E$8:$E$15,MATCH(E82,'Regional Markets'!$B$8:$B$15,0)),IF(K82="JPY",0,2))</f>
        <v>945.3</v>
      </c>
      <c r="M82" s="79" t="n">
        <v>0.105</v>
      </c>
      <c r="N82" s="94">
        <f>J82*L82*(1-M82)</f>
        <v>27073.392</v>
      </c>
      <c r="O82" s="78">
        <f>N82/INDEX('Regional Markets'!$E$8:$E$15,MATCH(E82,'Regional Markets'!$B$8:$B$15,0))</f>
        <v>19761.6</v>
      </c>
      <c r="P82" s="80" t="inlineStr">
        <is>
          <t>In Transit</t>
        </is>
      </c>
      <c r="Q82" s="91" t="n">
        <v>46272</v>
      </c>
      <c r="R82" s="76" t="inlineStr">
        <is>
          <t>Ship DDP Toronto. Email customs broker documents 72 hours before arrival.</t>
        </is>
      </c>
    </row>
    <row r="83" ht="21.2" customHeight="1">
      <c r="B83" s="90" t="inlineStr">
        <is>
          <t>SO-26-1116</t>
        </is>
      </c>
      <c r="C83" s="91" t="n">
        <v>46245</v>
      </c>
      <c r="D83" s="76" t="inlineStr">
        <is>
          <t>Saltbush Home</t>
        </is>
      </c>
      <c r="E83" s="92" t="inlineStr">
        <is>
          <t>Australia</t>
        </is>
      </c>
      <c r="F83" s="92" t="inlineStr">
        <is>
          <t>Retail Partner</t>
        </is>
      </c>
      <c r="G83" s="92" t="inlineStr">
        <is>
          <t>LL-DEC-501</t>
        </is>
      </c>
      <c r="H83" s="76" t="str">
        <f>IFERROR(INDEX('Product Catalog'!$C$7:$C$22,MATCH(G83,'Product Catalog'!$B$7:$B$22,0)),"")</f>
        <v>Lumi Recycled Glass Vase</v>
      </c>
      <c r="I83" s="92" t="str">
        <f>IFERROR(INDEX('Product Catalog'!$D$7:$D$22,MATCH(G83,'Product Catalog'!$B$7:$B$22,0)),"")</f>
        <v>Decor &amp; Rugs</v>
      </c>
      <c r="J83" s="93" t="n">
        <v>576</v>
      </c>
      <c r="K83" s="80" t="str">
        <f>IFERROR(INDEX('Regional Markets'!$D$8:$D$15,MATCH(E83,'Regional Markets'!$B$8:$B$15,0)),"")</f>
        <v>AUD</v>
      </c>
      <c r="L83" s="94">
        <f>ROUND(INDEX('Product Catalog'!$I$7:$I$22,MATCH(G83,'Product Catalog'!$B$7:$B$22,0))*INDEX('Regional Markets'!$E$8:$E$15,MATCH(E83,'Regional Markets'!$B$8:$B$15,0)),IF(K83="JPY",0,2))</f>
        <v>97.28</v>
      </c>
      <c r="M83" s="79" t="n">
        <v>0.04</v>
      </c>
      <c r="N83" s="94">
        <f>J83*L83*(1-M83)</f>
        <v>53791.9488</v>
      </c>
      <c r="O83" s="78">
        <f>N83/INDEX('Regional Markets'!$E$8:$E$15,MATCH(E83,'Regional Markets'!$B$8:$B$15,0))</f>
        <v>35389.44</v>
      </c>
      <c r="P83" s="80" t="inlineStr">
        <is>
          <t>Delivered</t>
        </is>
      </c>
      <c r="Q83" s="91" t="n">
        <v>46286</v>
      </c>
      <c r="R83" s="76" t="inlineStr">
        <is>
          <t>Standard terms; no special handling.</t>
        </is>
      </c>
    </row>
    <row r="84" ht="34.4" customHeight="1">
      <c r="B84" s="90" t="inlineStr">
        <is>
          <t>SO-26-1117</t>
        </is>
      </c>
      <c r="C84" s="91" t="n">
        <v>46247</v>
      </c>
      <c r="D84" s="76" t="inlineStr">
        <is>
          <t>Kew Lane Living</t>
        </is>
      </c>
      <c r="E84" s="92" t="inlineStr">
        <is>
          <t>United Kingdom</t>
        </is>
      </c>
      <c r="F84" s="92" t="inlineStr">
        <is>
          <t>Retail Partner</t>
        </is>
      </c>
      <c r="G84" s="92" t="inlineStr">
        <is>
          <t>LL-LGT-104</t>
        </is>
      </c>
      <c r="H84" s="76" t="str">
        <f>IFERROR(INDEX('Product Catalog'!$C$7:$C$22,MATCH(G84,'Product Catalog'!$B$7:$B$22,0)),"")</f>
        <v>Sora Ceramic Table Lamp</v>
      </c>
      <c r="I84" s="92" t="str">
        <f>IFERROR(INDEX('Product Catalog'!$D$7:$D$22,MATCH(G84,'Product Catalog'!$B$7:$B$22,0)),"")</f>
        <v>Lighting</v>
      </c>
      <c r="J84" s="93" t="n">
        <v>96</v>
      </c>
      <c r="K84" s="80" t="str">
        <f>IFERROR(INDEX('Regional Markets'!$D$8:$D$15,MATCH(E84,'Regional Markets'!$B$8:$B$15,0)),"")</f>
        <v>GBP</v>
      </c>
      <c r="L84" s="94">
        <f>ROUND(INDEX('Product Catalog'!$I$7:$I$22,MATCH(G84,'Product Catalog'!$B$7:$B$22,0))*INDEX('Regional Markets'!$E$8:$E$15,MATCH(E84,'Regional Markets'!$B$8:$B$15,0)),IF(K84="JPY",0,2))</f>
        <v>116.22</v>
      </c>
      <c r="M84" s="79" t="n">
        <v>0.045</v>
      </c>
      <c r="N84" s="94">
        <f>J84*L84*(1-M84)</f>
        <v>10655.0496</v>
      </c>
      <c r="O84" s="78">
        <f>N84/INDEX('Regional Markets'!$E$8:$E$15,MATCH(E84,'Regional Markets'!$B$8:$B$15,0))</f>
        <v>13660.32</v>
      </c>
      <c r="P84" s="80" t="inlineStr">
        <is>
          <t>Delivered</t>
        </is>
      </c>
      <c r="Q84" s="91" t="n">
        <v>46268</v>
      </c>
      <c r="R84" s="76" t="inlineStr">
        <is>
          <t>UKCA marking must be visible on the outer lamp cartons.</t>
        </is>
      </c>
    </row>
    <row r="85" ht="34.4" customHeight="1">
      <c r="B85" s="90" t="inlineStr">
        <is>
          <t>SO-26-1118</t>
        </is>
      </c>
      <c r="C85" s="91" t="n">
        <v>46251</v>
      </c>
      <c r="D85" s="76" t="inlineStr">
        <is>
          <t>Kew Lane Living</t>
        </is>
      </c>
      <c r="E85" s="92" t="inlineStr">
        <is>
          <t>United Kingdom</t>
        </is>
      </c>
      <c r="F85" s="92" t="inlineStr">
        <is>
          <t>Retail Partner</t>
        </is>
      </c>
      <c r="G85" s="92" t="inlineStr">
        <is>
          <t>LL-FUR-309</t>
        </is>
      </c>
      <c r="H85" s="76" t="str">
        <f>IFERROR(INDEX('Product Catalog'!$C$7:$C$22,MATCH(G85,'Product Catalog'!$B$7:$B$22,0)),"")</f>
        <v>Otto Rattan Lounge Chair</v>
      </c>
      <c r="I85" s="92" t="str">
        <f>IFERROR(INDEX('Product Catalog'!$D$7:$D$22,MATCH(G85,'Product Catalog'!$B$7:$B$22,0)),"")</f>
        <v>Furniture</v>
      </c>
      <c r="J85" s="93" t="n">
        <v>44</v>
      </c>
      <c r="K85" s="80" t="str">
        <f>IFERROR(INDEX('Regional Markets'!$D$8:$D$15,MATCH(E85,'Regional Markets'!$B$8:$B$15,0)),"")</f>
        <v>GBP</v>
      </c>
      <c r="L85" s="94">
        <f>ROUND(INDEX('Product Catalog'!$I$7:$I$22,MATCH(G85,'Product Catalog'!$B$7:$B$22,0))*INDEX('Regional Markets'!$E$8:$E$15,MATCH(E85,'Regional Markets'!$B$8:$B$15,0)),IF(K85="JPY",0,2))</f>
        <v>538.2</v>
      </c>
      <c r="M85" s="79" t="n">
        <v>0.1</v>
      </c>
      <c r="N85" s="94">
        <f>J85*L85*(1-M85)</f>
        <v>21312.72</v>
      </c>
      <c r="O85" s="78">
        <f>N85/INDEX('Regional Markets'!$E$8:$E$15,MATCH(E85,'Regional Markets'!$B$8:$B$15,0))</f>
        <v>27324</v>
      </c>
      <c r="P85" s="80" t="inlineStr">
        <is>
          <t>On Hold</t>
        </is>
      </c>
      <c r="Q85" s="91" t="n">
        <v>46290</v>
      </c>
      <c r="R85" s="76" t="inlineStr">
        <is>
          <t>Split shipment acceptable; invoice per shipment.</t>
        </is>
      </c>
    </row>
    <row r="86" ht="34.4" customHeight="1">
      <c r="B86" s="90" t="inlineStr">
        <is>
          <t>SO-26-1119</t>
        </is>
      </c>
      <c r="C86" s="91" t="n">
        <v>46251</v>
      </c>
      <c r="D86" s="76" t="inlineStr">
        <is>
          <t>Wohnhaus Berger GmbH</t>
        </is>
      </c>
      <c r="E86" s="92" t="inlineStr">
        <is>
          <t>Germany</t>
        </is>
      </c>
      <c r="F86" s="92" t="inlineStr">
        <is>
          <t>Retail Partner</t>
        </is>
      </c>
      <c r="G86" s="92" t="inlineStr">
        <is>
          <t>LL-DEC-507</t>
        </is>
      </c>
      <c r="H86" s="76" t="str">
        <f>IFERROR(INDEX('Product Catalog'!$C$7:$C$22,MATCH(G86,'Product Catalog'!$B$7:$B$22,0)),"")</f>
        <v>Tarn Wool Area Rug</v>
      </c>
      <c r="I86" s="92" t="str">
        <f>IFERROR(INDEX('Product Catalog'!$D$7:$D$22,MATCH(G86,'Product Catalog'!$B$7:$B$22,0)),"")</f>
        <v>Decor &amp; Rugs</v>
      </c>
      <c r="J86" s="93" t="n">
        <v>32</v>
      </c>
      <c r="K86" s="80" t="str">
        <f>IFERROR(INDEX('Regional Markets'!$D$8:$D$15,MATCH(E86,'Regional Markets'!$B$8:$B$15,0)),"")</f>
        <v>EUR</v>
      </c>
      <c r="L86" s="94">
        <f>ROUND(INDEX('Product Catalog'!$I$7:$I$22,MATCH(G86,'Product Catalog'!$B$7:$B$22,0))*INDEX('Regional Markets'!$E$8:$E$15,MATCH(E86,'Regional Markets'!$B$8:$B$15,0)),IF(K86="JPY",0,2))</f>
        <v>496.8</v>
      </c>
      <c r="M86" s="79" t="n">
        <v>0.075</v>
      </c>
      <c r="N86" s="94">
        <f>J86*L86*(1-M86)</f>
        <v>14705.28</v>
      </c>
      <c r="O86" s="78">
        <f>N86/INDEX('Regional Markets'!$E$8:$E$15,MATCH(E86,'Regional Markets'!$B$8:$B$15,0))</f>
        <v>15984</v>
      </c>
      <c r="P86" s="80" t="inlineStr">
        <is>
          <t>Delivered</t>
        </is>
      </c>
      <c r="Q86" s="91" t="n">
        <v>46287</v>
      </c>
      <c r="R86" s="76" t="inlineStr">
        <is>
          <t>Include German-language assembly instructions with every unit.</t>
        </is>
      </c>
    </row>
    <row r="87" ht="47.6" customHeight="1">
      <c r="B87" s="90" t="inlineStr">
        <is>
          <t>SO-26-1120</t>
        </is>
      </c>
      <c r="C87" s="91" t="n">
        <v>46254</v>
      </c>
      <c r="D87" s="76" t="inlineStr">
        <is>
          <t>Oakline Hospitality Group</t>
        </is>
      </c>
      <c r="E87" s="92" t="inlineStr">
        <is>
          <t>United States</t>
        </is>
      </c>
      <c r="F87" s="92" t="inlineStr">
        <is>
          <t>Contract / Hospitality</t>
        </is>
      </c>
      <c r="G87" s="92" t="inlineStr">
        <is>
          <t>LL-TXT-201</t>
        </is>
      </c>
      <c r="H87" s="76" t="str">
        <f>IFERROR(INDEX('Product Catalog'!$C$7:$C$22,MATCH(G87,'Product Catalog'!$B$7:$B$22,0)),"")</f>
        <v>Arden Stonewashed Linen Duvet Set</v>
      </c>
      <c r="I87" s="92" t="str">
        <f>IFERROR(INDEX('Product Catalog'!$D$7:$D$22,MATCH(G87,'Product Catalog'!$B$7:$B$22,0)),"")</f>
        <v>Textiles</v>
      </c>
      <c r="J87" s="93" t="n">
        <v>52</v>
      </c>
      <c r="K87" s="80" t="str">
        <f>IFERROR(INDEX('Regional Markets'!$D$8:$D$15,MATCH(E87,'Regional Markets'!$B$8:$B$15,0)),"")</f>
        <v>USD</v>
      </c>
      <c r="L87" s="94">
        <f>ROUND(INDEX('Product Catalog'!$I$7:$I$22,MATCH(G87,'Product Catalog'!$B$7:$B$22,0))*INDEX('Regional Markets'!$E$8:$E$15,MATCH(E87,'Regional Markets'!$B$8:$B$15,0)),IF(K87="JPY",0,2))</f>
        <v>219</v>
      </c>
      <c r="M87" s="79" t="n">
        <v>0.185</v>
      </c>
      <c r="N87" s="94">
        <f>J87*L87*(1-M87)</f>
        <v>9281.22</v>
      </c>
      <c r="O87" s="78">
        <f>N87/INDEX('Regional Markets'!$E$8:$E$15,MATCH(E87,'Regional Markets'!$B$8:$B$15,0))</f>
        <v>9281.22</v>
      </c>
      <c r="P87" s="80" t="inlineStr">
        <is>
          <t>In Transit</t>
        </is>
      </c>
      <c r="Q87" s="91" t="n">
        <v>46308</v>
      </c>
      <c r="R87" s="76" t="inlineStr">
        <is>
          <t>Hotel fit-out: all items must arrive before the installation window starts on the ship-by date.</t>
        </is>
      </c>
    </row>
    <row r="88" ht="34.4" customHeight="1">
      <c r="B88" s="90" t="inlineStr">
        <is>
          <t>SO-26-1121</t>
        </is>
      </c>
      <c r="C88" s="91" t="n">
        <v>46260</v>
      </c>
      <c r="D88" s="76" t="inlineStr">
        <is>
          <t>Kurashi Select</t>
        </is>
      </c>
      <c r="E88" s="92" t="inlineStr">
        <is>
          <t>Japan</t>
        </is>
      </c>
      <c r="F88" s="92" t="inlineStr">
        <is>
          <t>Retail Partner</t>
        </is>
      </c>
      <c r="G88" s="92" t="inlineStr">
        <is>
          <t>LL-LGT-112</t>
        </is>
      </c>
      <c r="H88" s="76" t="str">
        <f>IFERROR(INDEX('Product Catalog'!$C$7:$C$22,MATCH(G88,'Product Catalog'!$B$7:$B$22,0)),"")</f>
        <v>Vik Brass Floor Lamp</v>
      </c>
      <c r="I88" s="92" t="str">
        <f>IFERROR(INDEX('Product Catalog'!$D$7:$D$22,MATCH(G88,'Product Catalog'!$B$7:$B$22,0)),"")</f>
        <v>Lighting</v>
      </c>
      <c r="J88" s="93" t="n">
        <v>24</v>
      </c>
      <c r="K88" s="80" t="str">
        <f>IFERROR(INDEX('Regional Markets'!$D$8:$D$15,MATCH(E88,'Regional Markets'!$B$8:$B$15,0)),"")</f>
        <v>JPY</v>
      </c>
      <c r="L88" s="94">
        <f>ROUND(INDEX('Product Catalog'!$I$7:$I$22,MATCH(G88,'Product Catalog'!$B$7:$B$22,0))*INDEX('Regional Markets'!$E$8:$E$15,MATCH(E88,'Regional Markets'!$B$8:$B$15,0)),IF(K88="JPY",0,2))</f>
        <v>48692</v>
      </c>
      <c r="M88" s="79" t="n">
        <v>0.08500000000000001</v>
      </c>
      <c r="N88" s="94">
        <f>J88*L88*(1-M88)</f>
        <v>1069276.32</v>
      </c>
      <c r="O88" s="78">
        <f>N88/INDEX('Regional Markets'!$E$8:$E$15,MATCH(E88,'Regional Markets'!$B$8:$B$15,0))</f>
        <v>7224.84</v>
      </c>
      <c r="P88" s="80" t="inlineStr">
        <is>
          <t>Delivered</t>
        </is>
      </c>
      <c r="Q88" s="91" t="n">
        <v>46286</v>
      </c>
      <c r="R88" s="76" t="inlineStr">
        <is>
          <t>PSE marks must be visible on lamps and on outer cartons.</t>
        </is>
      </c>
    </row>
    <row r="89" ht="21.2" customHeight="1">
      <c r="B89" s="90" t="inlineStr">
        <is>
          <t>SO-26-1122</t>
        </is>
      </c>
      <c r="C89" s="91" t="n">
        <v>46260</v>
      </c>
      <c r="D89" s="76" t="inlineStr">
        <is>
          <t>Saltbush Home</t>
        </is>
      </c>
      <c r="E89" s="92" t="inlineStr">
        <is>
          <t>Australia</t>
        </is>
      </c>
      <c r="F89" s="92" t="inlineStr">
        <is>
          <t>Retail Partner</t>
        </is>
      </c>
      <c r="G89" s="92" t="inlineStr">
        <is>
          <t>LL-TXT-214</t>
        </is>
      </c>
      <c r="H89" s="76" t="str">
        <f>IFERROR(INDEX('Product Catalog'!$C$7:$C$22,MATCH(G89,'Product Catalog'!$B$7:$B$22,0)),"")</f>
        <v>Kesa Organic Cotton Towel Set</v>
      </c>
      <c r="I89" s="92" t="str">
        <f>IFERROR(INDEX('Product Catalog'!$D$7:$D$22,MATCH(G89,'Product Catalog'!$B$7:$B$22,0)),"")</f>
        <v>Textiles</v>
      </c>
      <c r="J89" s="93" t="n">
        <v>288</v>
      </c>
      <c r="K89" s="80" t="str">
        <f>IFERROR(INDEX('Regional Markets'!$D$8:$D$15,MATCH(E89,'Regional Markets'!$B$8:$B$15,0)),"")</f>
        <v>AUD</v>
      </c>
      <c r="L89" s="94">
        <f>ROUND(INDEX('Product Catalog'!$I$7:$I$22,MATCH(G89,'Product Catalog'!$B$7:$B$22,0))*INDEX('Regional Markets'!$E$8:$E$15,MATCH(E89,'Regional Markets'!$B$8:$B$15,0)),IF(K89="JPY",0,2))</f>
        <v>120.08</v>
      </c>
      <c r="M89" s="79" t="n">
        <v>0.05</v>
      </c>
      <c r="N89" s="94">
        <f>J89*L89*(1-M89)</f>
        <v>32853.888</v>
      </c>
      <c r="O89" s="78">
        <f>N89/INDEX('Regional Markets'!$E$8:$E$15,MATCH(E89,'Regional Markets'!$B$8:$B$15,0))</f>
        <v>21614.4</v>
      </c>
      <c r="P89" s="80" t="inlineStr">
        <is>
          <t>In Transit</t>
        </is>
      </c>
      <c r="Q89" s="91" t="n">
        <v>46293</v>
      </c>
      <c r="R89" s="76" t="inlineStr">
        <is>
          <t>Heat-treated (ISPM 15) pallets only.</t>
        </is>
      </c>
    </row>
    <row r="90" ht="34.4" customHeight="1">
      <c r="B90" s="90" t="inlineStr">
        <is>
          <t>SO-26-1123</t>
        </is>
      </c>
      <c r="C90" s="91" t="n">
        <v>46261</v>
      </c>
      <c r="D90" s="76" t="inlineStr">
        <is>
          <t>Hotel Seeblick Gruppe</t>
        </is>
      </c>
      <c r="E90" s="92" t="inlineStr">
        <is>
          <t>Germany</t>
        </is>
      </c>
      <c r="F90" s="92" t="inlineStr">
        <is>
          <t>Contract / Hospitality</t>
        </is>
      </c>
      <c r="G90" s="92" t="inlineStr">
        <is>
          <t>LL-FUR-309</t>
        </is>
      </c>
      <c r="H90" s="76" t="str">
        <f>IFERROR(INDEX('Product Catalog'!$C$7:$C$22,MATCH(G90,'Product Catalog'!$B$7:$B$22,0)),"")</f>
        <v>Otto Rattan Lounge Chair</v>
      </c>
      <c r="I90" s="92" t="str">
        <f>IFERROR(INDEX('Product Catalog'!$D$7:$D$22,MATCH(G90,'Product Catalog'!$B$7:$B$22,0)),"")</f>
        <v>Furniture</v>
      </c>
      <c r="J90" s="93" t="n">
        <v>56</v>
      </c>
      <c r="K90" s="80" t="str">
        <f>IFERROR(INDEX('Regional Markets'!$D$8:$D$15,MATCH(E90,'Regional Markets'!$B$8:$B$15,0)),"")</f>
        <v>EUR</v>
      </c>
      <c r="L90" s="94">
        <f>ROUND(INDEX('Product Catalog'!$I$7:$I$22,MATCH(G90,'Product Catalog'!$B$7:$B$22,0))*INDEX('Regional Markets'!$E$8:$E$15,MATCH(E90,'Regional Markets'!$B$8:$B$15,0)),IF(K90="JPY",0,2))</f>
        <v>634.8</v>
      </c>
      <c r="M90" s="79" t="n">
        <v>0.135</v>
      </c>
      <c r="N90" s="94">
        <f>J90*L90*(1-M90)</f>
        <v>30749.712</v>
      </c>
      <c r="O90" s="78">
        <f>N90/INDEX('Regional Markets'!$E$8:$E$15,MATCH(E90,'Regional Markets'!$B$8:$B$15,0))</f>
        <v>33423.6</v>
      </c>
      <c r="P90" s="80" t="inlineStr">
        <is>
          <t>Delivered</t>
        </is>
      </c>
      <c r="Q90" s="91" t="n">
        <v>46293</v>
      </c>
      <c r="R90" s="76" t="inlineStr">
        <is>
          <t>Deliver in two drops, one per hotel property, as listed on the purchase order.</t>
        </is>
      </c>
    </row>
    <row r="91" ht="34.4" customHeight="1">
      <c r="B91" s="90" t="inlineStr">
        <is>
          <t>SO-26-1124</t>
        </is>
      </c>
      <c r="C91" s="91" t="n">
        <v>46265</v>
      </c>
      <c r="D91" s="76" t="inlineStr">
        <is>
          <t>Harbor &amp; Pine Home</t>
        </is>
      </c>
      <c r="E91" s="92" t="inlineStr">
        <is>
          <t>United States</t>
        </is>
      </c>
      <c r="F91" s="92" t="inlineStr">
        <is>
          <t>Retail Partner</t>
        </is>
      </c>
      <c r="G91" s="92" t="inlineStr">
        <is>
          <t>LL-KIT-406</t>
        </is>
      </c>
      <c r="H91" s="76" t="str">
        <f>IFERROR(INDEX('Product Catalog'!$C$7:$C$22,MATCH(G91,'Product Catalog'!$B$7:$B$22,0)),"")</f>
        <v>Aska Enamelled Cast Iron Casserole</v>
      </c>
      <c r="I91" s="92" t="str">
        <f>IFERROR(INDEX('Product Catalog'!$D$7:$D$22,MATCH(G91,'Product Catalog'!$B$7:$B$22,0)),"")</f>
        <v>Kitchen &amp; Dining</v>
      </c>
      <c r="J91" s="93" t="n">
        <v>52</v>
      </c>
      <c r="K91" s="80" t="str">
        <f>IFERROR(INDEX('Regional Markets'!$D$8:$D$15,MATCH(E91,'Regional Markets'!$B$8:$B$15,0)),"")</f>
        <v>USD</v>
      </c>
      <c r="L91" s="94">
        <f>ROUND(INDEX('Product Catalog'!$I$7:$I$22,MATCH(G91,'Product Catalog'!$B$7:$B$22,0))*INDEX('Regional Markets'!$E$8:$E$15,MATCH(E91,'Regional Markets'!$B$8:$B$15,0)),IF(K91="JPY",0,2))</f>
        <v>210</v>
      </c>
      <c r="M91" s="79" t="n">
        <v>0.075</v>
      </c>
      <c r="N91" s="94">
        <f>J91*L91*(1-M91)</f>
        <v>10101</v>
      </c>
      <c r="O91" s="78">
        <f>N91/INDEX('Regional Markets'!$E$8:$E$15,MATCH(E91,'Regional Markets'!$B$8:$B$15,0))</f>
        <v>10101</v>
      </c>
      <c r="P91" s="80" t="inlineStr">
        <is>
          <t>Delivered</t>
        </is>
      </c>
      <c r="Q91" s="91" t="n">
        <v>46296</v>
      </c>
      <c r="R91" s="76" t="inlineStr">
        <is>
          <t>GS1-128 carton labels required. Do not mix SKUs on a single pallet.</t>
        </is>
      </c>
    </row>
    <row r="92" ht="47.6" customHeight="1">
      <c r="B92" s="90" t="inlineStr">
        <is>
          <t>SO-26-1125</t>
        </is>
      </c>
      <c r="C92" s="91" t="n">
        <v>46267</v>
      </c>
      <c r="D92" s="76" t="inlineStr">
        <is>
          <t>Hem &amp; Sjö Distribution AB</t>
        </is>
      </c>
      <c r="E92" s="92" t="inlineStr">
        <is>
          <t>Sweden</t>
        </is>
      </c>
      <c r="F92" s="92" t="inlineStr">
        <is>
          <t>Distributor</t>
        </is>
      </c>
      <c r="G92" s="92" t="inlineStr">
        <is>
          <t>LL-TXT-210</t>
        </is>
      </c>
      <c r="H92" s="76" t="str">
        <f>IFERROR(INDEX('Product Catalog'!$C$7:$C$22,MATCH(G92,'Product Catalog'!$B$7:$B$22,0)),"")</f>
        <v>Marlow Hand-Loomed Cushion Cover</v>
      </c>
      <c r="I92" s="92" t="str">
        <f>IFERROR(INDEX('Product Catalog'!$D$7:$D$22,MATCH(G92,'Product Catalog'!$B$7:$B$22,0)),"")</f>
        <v>Textiles</v>
      </c>
      <c r="J92" s="93" t="n">
        <v>614</v>
      </c>
      <c r="K92" s="80" t="str">
        <f>IFERROR(INDEX('Regional Markets'!$D$8:$D$15,MATCH(E92,'Regional Markets'!$B$8:$B$15,0)),"")</f>
        <v>SEK</v>
      </c>
      <c r="L92" s="94">
        <f>ROUND(INDEX('Product Catalog'!$I$7:$I$22,MATCH(G92,'Product Catalog'!$B$7:$B$22,0))*INDEX('Regional Markets'!$E$8:$E$15,MATCH(E92,'Regional Markets'!$B$8:$B$15,0)),IF(K92="JPY",0,2))</f>
        <v>413.4</v>
      </c>
      <c r="M92" s="79" t="n">
        <v>0.13</v>
      </c>
      <c r="N92" s="94">
        <f>J92*L92*(1-M92)</f>
        <v>220830.012</v>
      </c>
      <c r="O92" s="78">
        <f>N92/INDEX('Regional Markets'!$E$8:$E$15,MATCH(E92,'Regional Markets'!$B$8:$B$15,0))</f>
        <v>20833.02</v>
      </c>
      <c r="P92" s="80" t="inlineStr">
        <is>
          <t>Delivered</t>
        </is>
      </c>
      <c r="Q92" s="91" t="n">
        <v>46303</v>
      </c>
      <c r="R92" s="76" t="inlineStr">
        <is>
          <t>Monthly consolidated road freight. Attach FSC certificates to the shipping documents.</t>
        </is>
      </c>
    </row>
    <row r="93" ht="34.4" customHeight="1">
      <c r="B93" s="90" t="inlineStr">
        <is>
          <t>SO-26-1126</t>
        </is>
      </c>
      <c r="C93" s="91" t="n">
        <v>46272</v>
      </c>
      <c r="D93" s="76" t="inlineStr">
        <is>
          <t>Hotel Seeblick Gruppe</t>
        </is>
      </c>
      <c r="E93" s="92" t="inlineStr">
        <is>
          <t>Germany</t>
        </is>
      </c>
      <c r="F93" s="92" t="inlineStr">
        <is>
          <t>Contract / Hospitality</t>
        </is>
      </c>
      <c r="G93" s="92" t="inlineStr">
        <is>
          <t>LL-KIT-401</t>
        </is>
      </c>
      <c r="H93" s="76" t="str">
        <f>IFERROR(INDEX('Product Catalog'!$C$7:$C$22,MATCH(G93,'Product Catalog'!$B$7:$B$22,0)),"")</f>
        <v>Hollis Stoneware Dinner Set</v>
      </c>
      <c r="I93" s="92" t="str">
        <f>IFERROR(INDEX('Product Catalog'!$D$7:$D$22,MATCH(G93,'Product Catalog'!$B$7:$B$22,0)),"")</f>
        <v>Kitchen &amp; Dining</v>
      </c>
      <c r="J93" s="93" t="n">
        <v>70</v>
      </c>
      <c r="K93" s="80" t="str">
        <f>IFERROR(INDEX('Regional Markets'!$D$8:$D$15,MATCH(E93,'Regional Markets'!$B$8:$B$15,0)),"")</f>
        <v>EUR</v>
      </c>
      <c r="L93" s="94">
        <f>ROUND(INDEX('Product Catalog'!$I$7:$I$22,MATCH(G93,'Product Catalog'!$B$7:$B$22,0))*INDEX('Regional Markets'!$E$8:$E$15,MATCH(E93,'Regional Markets'!$B$8:$B$15,0)),IF(K93="JPY",0,2))</f>
        <v>151.8</v>
      </c>
      <c r="M93" s="79" t="n">
        <v>0.125</v>
      </c>
      <c r="N93" s="94">
        <f>J93*L93*(1-M93)</f>
        <v>9297.75</v>
      </c>
      <c r="O93" s="78">
        <f>N93/INDEX('Regional Markets'!$E$8:$E$15,MATCH(E93,'Regional Markets'!$B$8:$B$15,0))</f>
        <v>10106.25</v>
      </c>
      <c r="P93" s="80" t="inlineStr">
        <is>
          <t>In Transit</t>
        </is>
      </c>
      <c r="Q93" s="91" t="n">
        <v>46307</v>
      </c>
      <c r="R93" s="76" t="inlineStr">
        <is>
          <t>Deliver in two drops, one per hotel property, as listed on the purchase order.</t>
        </is>
      </c>
    </row>
    <row r="94" ht="34.4" customHeight="1">
      <c r="B94" s="90" t="inlineStr">
        <is>
          <t>SO-26-1127</t>
        </is>
      </c>
      <c r="C94" s="91" t="n">
        <v>46272</v>
      </c>
      <c r="D94" s="76" t="inlineStr">
        <is>
          <t>Harbor &amp; Pine Home</t>
        </is>
      </c>
      <c r="E94" s="92" t="inlineStr">
        <is>
          <t>United States</t>
        </is>
      </c>
      <c r="F94" s="92" t="inlineStr">
        <is>
          <t>Retail Partner</t>
        </is>
      </c>
      <c r="G94" s="92" t="inlineStr">
        <is>
          <t>LL-KIT-401</t>
        </is>
      </c>
      <c r="H94" s="76" t="str">
        <f>IFERROR(INDEX('Product Catalog'!$C$7:$C$22,MATCH(G94,'Product Catalog'!$B$7:$B$22,0)),"")</f>
        <v>Hollis Stoneware Dinner Set</v>
      </c>
      <c r="I94" s="92" t="str">
        <f>IFERROR(INDEX('Product Catalog'!$D$7:$D$22,MATCH(G94,'Product Catalog'!$B$7:$B$22,0)),"")</f>
        <v>Kitchen &amp; Dining</v>
      </c>
      <c r="J94" s="93" t="n">
        <v>96</v>
      </c>
      <c r="K94" s="80" t="str">
        <f>IFERROR(INDEX('Regional Markets'!$D$8:$D$15,MATCH(E94,'Regional Markets'!$B$8:$B$15,0)),"")</f>
        <v>USD</v>
      </c>
      <c r="L94" s="94">
        <f>ROUND(INDEX('Product Catalog'!$I$7:$I$22,MATCH(G94,'Product Catalog'!$B$7:$B$22,0))*INDEX('Regional Markets'!$E$8:$E$15,MATCH(E94,'Regional Markets'!$B$8:$B$15,0)),IF(K94="JPY",0,2))</f>
        <v>165</v>
      </c>
      <c r="M94" s="79" t="n">
        <v>0.07000000000000001</v>
      </c>
      <c r="N94" s="94">
        <f>J94*L94*(1-M94)</f>
        <v>14731.2</v>
      </c>
      <c r="O94" s="78">
        <f>N94/INDEX('Regional Markets'!$E$8:$E$15,MATCH(E94,'Regional Markets'!$B$8:$B$15,0))</f>
        <v>14731.2</v>
      </c>
      <c r="P94" s="80" t="inlineStr">
        <is>
          <t>In Transit</t>
        </is>
      </c>
      <c r="Q94" s="91" t="n">
        <v>46307</v>
      </c>
      <c r="R94" s="76" t="inlineStr">
        <is>
          <t>GS1-128 carton labels required. Do not mix SKUs on a single pallet.</t>
        </is>
      </c>
    </row>
    <row r="95" ht="34.4" customHeight="1">
      <c r="B95" s="90" t="inlineStr">
        <is>
          <t>SO-26-1128</t>
        </is>
      </c>
      <c r="C95" s="91" t="n">
        <v>46273</v>
      </c>
      <c r="D95" s="76" t="inlineStr">
        <is>
          <t>Ashcombe &amp; Reed</t>
        </is>
      </c>
      <c r="E95" s="92" t="inlineStr">
        <is>
          <t>United Kingdom</t>
        </is>
      </c>
      <c r="F95" s="92" t="inlineStr">
        <is>
          <t>Department Store</t>
        </is>
      </c>
      <c r="G95" s="92" t="inlineStr">
        <is>
          <t>LL-DEC-507</t>
        </is>
      </c>
      <c r="H95" s="76" t="str">
        <f>IFERROR(INDEX('Product Catalog'!$C$7:$C$22,MATCH(G95,'Product Catalog'!$B$7:$B$22,0)),"")</f>
        <v>Tarn Wool Area Rug</v>
      </c>
      <c r="I95" s="92" t="str">
        <f>IFERROR(INDEX('Product Catalog'!$D$7:$D$22,MATCH(G95,'Product Catalog'!$B$7:$B$22,0)),"")</f>
        <v>Decor &amp; Rugs</v>
      </c>
      <c r="J95" s="93" t="n">
        <v>24</v>
      </c>
      <c r="K95" s="80" t="str">
        <f>IFERROR(INDEX('Regional Markets'!$D$8:$D$15,MATCH(E95,'Regional Markets'!$B$8:$B$15,0)),"")</f>
        <v>GBP</v>
      </c>
      <c r="L95" s="94">
        <f>ROUND(INDEX('Product Catalog'!$I$7:$I$22,MATCH(G95,'Product Catalog'!$B$7:$B$22,0))*INDEX('Regional Markets'!$E$8:$E$15,MATCH(E95,'Regional Markets'!$B$8:$B$15,0)),IF(K95="JPY",0,2))</f>
        <v>421.2</v>
      </c>
      <c r="M95" s="79" t="n">
        <v>0.095</v>
      </c>
      <c r="N95" s="94">
        <f>J95*L95*(1-M95)</f>
        <v>9148.464</v>
      </c>
      <c r="O95" s="78">
        <f>N95/INDEX('Regional Markets'!$E$8:$E$15,MATCH(E95,'Regional Markets'!$B$8:$B$15,0))</f>
        <v>11728.8</v>
      </c>
      <c r="P95" s="80" t="inlineStr">
        <is>
          <t>In Transit</t>
        </is>
      </c>
      <c r="Q95" s="91" t="n">
        <v>46310</v>
      </c>
      <c r="R95" s="76" t="inlineStr">
        <is>
          <t>Swing tags with retailer barcode on all textiles.</t>
        </is>
      </c>
    </row>
    <row r="96" ht="34.4" customHeight="1">
      <c r="B96" s="90" t="inlineStr">
        <is>
          <t>SO-26-1129</t>
        </is>
      </c>
      <c r="C96" s="91" t="n">
        <v>46274</v>
      </c>
      <c r="D96" s="76" t="inlineStr">
        <is>
          <t>Hinoki Living</t>
        </is>
      </c>
      <c r="E96" s="92" t="inlineStr">
        <is>
          <t>Japan</t>
        </is>
      </c>
      <c r="F96" s="92" t="inlineStr">
        <is>
          <t>E-commerce</t>
        </is>
      </c>
      <c r="G96" s="92" t="inlineStr">
        <is>
          <t>LL-KIT-406</t>
        </is>
      </c>
      <c r="H96" s="76" t="str">
        <f>IFERROR(INDEX('Product Catalog'!$C$7:$C$22,MATCH(G96,'Product Catalog'!$B$7:$B$22,0)),"")</f>
        <v>Aska Enamelled Cast Iron Casserole</v>
      </c>
      <c r="I96" s="92" t="str">
        <f>IFERROR(INDEX('Product Catalog'!$D$7:$D$22,MATCH(G96,'Product Catalog'!$B$7:$B$22,0)),"")</f>
        <v>Kitchen &amp; Dining</v>
      </c>
      <c r="J96" s="93" t="n">
        <v>52</v>
      </c>
      <c r="K96" s="80" t="str">
        <f>IFERROR(INDEX('Regional Markets'!$D$8:$D$15,MATCH(E96,'Regional Markets'!$B$8:$B$15,0)),"")</f>
        <v>JPY</v>
      </c>
      <c r="L96" s="94">
        <f>ROUND(INDEX('Product Catalog'!$I$7:$I$22,MATCH(G96,'Product Catalog'!$B$7:$B$22,0))*INDEX('Regional Markets'!$E$8:$E$15,MATCH(E96,'Regional Markets'!$B$8:$B$15,0)),IF(K96="JPY",0,2))</f>
        <v>31080</v>
      </c>
      <c r="M96" s="79" t="n">
        <v>0.04</v>
      </c>
      <c r="N96" s="94">
        <f>J96*L96*(1-M96)</f>
        <v>1551513.6</v>
      </c>
      <c r="O96" s="78">
        <f>N96/INDEX('Regional Markets'!$E$8:$E$15,MATCH(E96,'Regional Markets'!$B$8:$B$15,0))</f>
        <v>10483.2</v>
      </c>
      <c r="P96" s="80" t="inlineStr">
        <is>
          <t>In Transit</t>
        </is>
      </c>
      <c r="Q96" s="91" t="n">
        <v>46309</v>
      </c>
      <c r="R96" s="76" t="inlineStr">
        <is>
          <t>Gift-wrap 20% of units; wrapping materials are supplied by the customer.</t>
        </is>
      </c>
    </row>
    <row r="97" ht="34.4" customHeight="1">
      <c r="B97" s="90" t="inlineStr">
        <is>
          <t>SO-26-1130</t>
        </is>
      </c>
      <c r="C97" s="91" t="n">
        <v>46279</v>
      </c>
      <c r="D97" s="76" t="inlineStr">
        <is>
          <t>Wohnhaus Berger GmbH</t>
        </is>
      </c>
      <c r="E97" s="92" t="inlineStr">
        <is>
          <t>Germany</t>
        </is>
      </c>
      <c r="F97" s="92" t="inlineStr">
        <is>
          <t>Retail Partner</t>
        </is>
      </c>
      <c r="G97" s="92" t="inlineStr">
        <is>
          <t>LL-TXT-214</t>
        </is>
      </c>
      <c r="H97" s="76" t="str">
        <f>IFERROR(INDEX('Product Catalog'!$C$7:$C$22,MATCH(G97,'Product Catalog'!$B$7:$B$22,0)),"")</f>
        <v>Kesa Organic Cotton Towel Set</v>
      </c>
      <c r="I97" s="92" t="str">
        <f>IFERROR(INDEX('Product Catalog'!$D$7:$D$22,MATCH(G97,'Product Catalog'!$B$7:$B$22,0)),"")</f>
        <v>Textiles</v>
      </c>
      <c r="J97" s="93" t="n">
        <v>108</v>
      </c>
      <c r="K97" s="80" t="str">
        <f>IFERROR(INDEX('Regional Markets'!$D$8:$D$15,MATCH(E97,'Regional Markets'!$B$8:$B$15,0)),"")</f>
        <v>EUR</v>
      </c>
      <c r="L97" s="94">
        <f>ROUND(INDEX('Product Catalog'!$I$7:$I$22,MATCH(G97,'Product Catalog'!$B$7:$B$22,0))*INDEX('Regional Markets'!$E$8:$E$15,MATCH(E97,'Regional Markets'!$B$8:$B$15,0)),IF(K97="JPY",0,2))</f>
        <v>72.68</v>
      </c>
      <c r="M97" s="79" t="n">
        <v>0.08500000000000001</v>
      </c>
      <c r="N97" s="94">
        <f>J97*L97*(1-M97)</f>
        <v>7182.2376</v>
      </c>
      <c r="O97" s="78">
        <f>N97/INDEX('Regional Markets'!$E$8:$E$15,MATCH(E97,'Regional Markets'!$B$8:$B$15,0))</f>
        <v>7806.78</v>
      </c>
      <c r="P97" s="80" t="inlineStr">
        <is>
          <t>In Transit</t>
        </is>
      </c>
      <c r="Q97" s="91" t="n">
        <v>46304</v>
      </c>
      <c r="R97" s="76" t="inlineStr">
        <is>
          <t>Delivery appointment required; maximum pallet height 1.8 m.</t>
        </is>
      </c>
    </row>
    <row r="98" ht="47.6" customHeight="1">
      <c r="B98" s="90" t="inlineStr">
        <is>
          <t>SO-26-1131</t>
        </is>
      </c>
      <c r="C98" s="91" t="n">
        <v>46282</v>
      </c>
      <c r="D98" s="76" t="inlineStr">
        <is>
          <t>Kurashi Select</t>
        </is>
      </c>
      <c r="E98" s="92" t="inlineStr">
        <is>
          <t>Japan</t>
        </is>
      </c>
      <c r="F98" s="92" t="inlineStr">
        <is>
          <t>Retail Partner</t>
        </is>
      </c>
      <c r="G98" s="92" t="inlineStr">
        <is>
          <t>LL-KIT-410</t>
        </is>
      </c>
      <c r="H98" s="76" t="str">
        <f>IFERROR(INDEX('Product Catalog'!$C$7:$C$22,MATCH(G98,'Product Catalog'!$B$7:$B$22,0)),"")</f>
        <v>Rune Acacia Serving Board</v>
      </c>
      <c r="I98" s="92" t="str">
        <f>IFERROR(INDEX('Product Catalog'!$D$7:$D$22,MATCH(G98,'Product Catalog'!$B$7:$B$22,0)),"")</f>
        <v>Kitchen &amp; Dining</v>
      </c>
      <c r="J98" s="93" t="n">
        <v>624</v>
      </c>
      <c r="K98" s="80" t="str">
        <f>IFERROR(INDEX('Regional Markets'!$D$8:$D$15,MATCH(E98,'Regional Markets'!$B$8:$B$15,0)),"")</f>
        <v>JPY</v>
      </c>
      <c r="L98" s="94">
        <f>ROUND(INDEX('Product Catalog'!$I$7:$I$22,MATCH(G98,'Product Catalog'!$B$7:$B$22,0))*INDEX('Regional Markets'!$E$8:$E$15,MATCH(E98,'Regional Markets'!$B$8:$B$15,0)),IF(K98="JPY",0,2))</f>
        <v>8584</v>
      </c>
      <c r="M98" s="79" t="n">
        <v>0.04</v>
      </c>
      <c r="N98" s="94">
        <f>J98*L98*(1-M98)</f>
        <v>5142159.36</v>
      </c>
      <c r="O98" s="78">
        <f>N98/INDEX('Regional Markets'!$E$8:$E$15,MATCH(E98,'Regional Markets'!$B$8:$B$15,0))</f>
        <v>34744.32</v>
      </c>
      <c r="P98" s="80" t="inlineStr">
        <is>
          <t>In Transit</t>
        </is>
      </c>
      <c r="Q98" s="91" t="n">
        <v>46322</v>
      </c>
      <c r="R98" s="76" t="inlineStr">
        <is>
          <t>Japanese care card inside each package. Packaging must arrive free of dents and scuffs.</t>
        </is>
      </c>
    </row>
    <row r="99" ht="34.4" customHeight="1">
      <c r="B99" s="90" t="inlineStr">
        <is>
          <t>SO-26-1132</t>
        </is>
      </c>
      <c r="C99" s="91" t="n">
        <v>46282</v>
      </c>
      <c r="D99" s="76" t="inlineStr">
        <is>
          <t>Wohnhaus Berger GmbH</t>
        </is>
      </c>
      <c r="E99" s="92" t="inlineStr">
        <is>
          <t>Germany</t>
        </is>
      </c>
      <c r="F99" s="92" t="inlineStr">
        <is>
          <t>Retail Partner</t>
        </is>
      </c>
      <c r="G99" s="92" t="inlineStr">
        <is>
          <t>LL-KIT-406</t>
        </is>
      </c>
      <c r="H99" s="76" t="str">
        <f>IFERROR(INDEX('Product Catalog'!$C$7:$C$22,MATCH(G99,'Product Catalog'!$B$7:$B$22,0)),"")</f>
        <v>Aska Enamelled Cast Iron Casserole</v>
      </c>
      <c r="I99" s="92" t="str">
        <f>IFERROR(INDEX('Product Catalog'!$D$7:$D$22,MATCH(G99,'Product Catalog'!$B$7:$B$22,0)),"")</f>
        <v>Kitchen &amp; Dining</v>
      </c>
      <c r="J99" s="93" t="n">
        <v>56</v>
      </c>
      <c r="K99" s="80" t="str">
        <f>IFERROR(INDEX('Regional Markets'!$D$8:$D$15,MATCH(E99,'Regional Markets'!$B$8:$B$15,0)),"")</f>
        <v>EUR</v>
      </c>
      <c r="L99" s="94">
        <f>ROUND(INDEX('Product Catalog'!$I$7:$I$22,MATCH(G99,'Product Catalog'!$B$7:$B$22,0))*INDEX('Regional Markets'!$E$8:$E$15,MATCH(E99,'Regional Markets'!$B$8:$B$15,0)),IF(K99="JPY",0,2))</f>
        <v>193.2</v>
      </c>
      <c r="M99" s="79" t="n">
        <v>0.075</v>
      </c>
      <c r="N99" s="94">
        <f>J99*L99*(1-M99)</f>
        <v>10007.76</v>
      </c>
      <c r="O99" s="78">
        <f>N99/INDEX('Regional Markets'!$E$8:$E$15,MATCH(E99,'Regional Markets'!$B$8:$B$15,0))</f>
        <v>10878</v>
      </c>
      <c r="P99" s="80" t="inlineStr">
        <is>
          <t>Processing</t>
        </is>
      </c>
      <c r="Q99" s="91" t="n">
        <v>46318</v>
      </c>
      <c r="R99" s="76" t="inlineStr">
        <is>
          <t>Include German-language assembly instructions with every unit.</t>
        </is>
      </c>
    </row>
    <row r="100" ht="34.4" customHeight="1">
      <c r="B100" s="90" t="inlineStr">
        <is>
          <t>SO-26-1133</t>
        </is>
      </c>
      <c r="C100" s="91" t="n">
        <v>46286</v>
      </c>
      <c r="D100" s="76" t="inlineStr">
        <is>
          <t>Ashcombe &amp; Reed</t>
        </is>
      </c>
      <c r="E100" s="92" t="inlineStr">
        <is>
          <t>United Kingdom</t>
        </is>
      </c>
      <c r="F100" s="92" t="inlineStr">
        <is>
          <t>Department Store</t>
        </is>
      </c>
      <c r="G100" s="92" t="inlineStr">
        <is>
          <t>LL-KIT-406</t>
        </is>
      </c>
      <c r="H100" s="76" t="str">
        <f>IFERROR(INDEX('Product Catalog'!$C$7:$C$22,MATCH(G100,'Product Catalog'!$B$7:$B$22,0)),"")</f>
        <v>Aska Enamelled Cast Iron Casserole</v>
      </c>
      <c r="I100" s="92" t="str">
        <f>IFERROR(INDEX('Product Catalog'!$D$7:$D$22,MATCH(G100,'Product Catalog'!$B$7:$B$22,0)),"")</f>
        <v>Kitchen &amp; Dining</v>
      </c>
      <c r="J100" s="93" t="n">
        <v>28</v>
      </c>
      <c r="K100" s="80" t="str">
        <f>IFERROR(INDEX('Regional Markets'!$D$8:$D$15,MATCH(E100,'Regional Markets'!$B$8:$B$15,0)),"")</f>
        <v>GBP</v>
      </c>
      <c r="L100" s="94">
        <f>ROUND(INDEX('Product Catalog'!$I$7:$I$22,MATCH(G100,'Product Catalog'!$B$7:$B$22,0))*INDEX('Regional Markets'!$E$8:$E$15,MATCH(E100,'Regional Markets'!$B$8:$B$15,0)),IF(K100="JPY",0,2))</f>
        <v>163.8</v>
      </c>
      <c r="M100" s="79" t="n">
        <v>0.1</v>
      </c>
      <c r="N100" s="94">
        <f>J100*L100*(1-M100)</f>
        <v>4127.76</v>
      </c>
      <c r="O100" s="78">
        <f>N100/INDEX('Regional Markets'!$E$8:$E$15,MATCH(E100,'Regional Markets'!$B$8:$B$15,0))</f>
        <v>5292</v>
      </c>
      <c r="P100" s="80" t="inlineStr">
        <is>
          <t>Processing</t>
        </is>
      </c>
      <c r="Q100" s="91" t="n">
        <v>46315</v>
      </c>
      <c r="R100" s="76" t="inlineStr">
        <is>
          <t>Deliver to Milton Keynes DC; ASN required 24 hours before arrival.</t>
        </is>
      </c>
    </row>
    <row r="101" ht="34.4" customHeight="1">
      <c r="B101" s="90" t="inlineStr">
        <is>
          <t>SO-26-1134</t>
        </is>
      </c>
      <c r="C101" s="91" t="n">
        <v>46286</v>
      </c>
      <c r="D101" s="76" t="inlineStr">
        <is>
          <t>Wohnhaus Berger GmbH</t>
        </is>
      </c>
      <c r="E101" s="92" t="inlineStr">
        <is>
          <t>Germany</t>
        </is>
      </c>
      <c r="F101" s="92" t="inlineStr">
        <is>
          <t>Retail Partner</t>
        </is>
      </c>
      <c r="G101" s="92" t="inlineStr">
        <is>
          <t>LL-TXT-205</t>
        </is>
      </c>
      <c r="H101" s="76" t="str">
        <f>IFERROR(INDEX('Product Catalog'!$C$7:$C$22,MATCH(G101,'Product Catalog'!$B$7:$B$22,0)),"")</f>
        <v>Fell Merino Wool Throw</v>
      </c>
      <c r="I101" s="92" t="str">
        <f>IFERROR(INDEX('Product Catalog'!$D$7:$D$22,MATCH(G101,'Product Catalog'!$B$7:$B$22,0)),"")</f>
        <v>Textiles</v>
      </c>
      <c r="J101" s="93" t="n">
        <v>288</v>
      </c>
      <c r="K101" s="80" t="str">
        <f>IFERROR(INDEX('Regional Markets'!$D$8:$D$15,MATCH(E101,'Regional Markets'!$B$8:$B$15,0)),"")</f>
        <v>EUR</v>
      </c>
      <c r="L101" s="94">
        <f>ROUND(INDEX('Product Catalog'!$I$7:$I$22,MATCH(G101,'Product Catalog'!$B$7:$B$22,0))*INDEX('Regional Markets'!$E$8:$E$15,MATCH(E101,'Regional Markets'!$B$8:$B$15,0)),IF(K101="JPY",0,2))</f>
        <v>118.68</v>
      </c>
      <c r="M101" s="79" t="n">
        <v>0.06</v>
      </c>
      <c r="N101" s="94">
        <f>J101*L101*(1-M101)</f>
        <v>32129.0496</v>
      </c>
      <c r="O101" s="78">
        <f>N101/INDEX('Regional Markets'!$E$8:$E$15,MATCH(E101,'Regional Markets'!$B$8:$B$15,0))</f>
        <v>34922.88</v>
      </c>
      <c r="P101" s="80" t="inlineStr">
        <is>
          <t>Processing</t>
        </is>
      </c>
      <c r="Q101" s="91" t="n">
        <v>46324</v>
      </c>
      <c r="R101" s="76" t="inlineStr">
        <is>
          <t>Include German-language assembly instructions with every unit.</t>
        </is>
      </c>
    </row>
    <row r="102" ht="34.4" customHeight="1">
      <c r="B102" s="90" t="inlineStr">
        <is>
          <t>SO-26-1135</t>
        </is>
      </c>
      <c r="C102" s="91" t="n">
        <v>46286</v>
      </c>
      <c r="D102" s="76" t="inlineStr">
        <is>
          <t>Ashcombe &amp; Reed</t>
        </is>
      </c>
      <c r="E102" s="92" t="inlineStr">
        <is>
          <t>United Kingdom</t>
        </is>
      </c>
      <c r="F102" s="92" t="inlineStr">
        <is>
          <t>Department Store</t>
        </is>
      </c>
      <c r="G102" s="92" t="inlineStr">
        <is>
          <t>LL-TXT-210</t>
        </is>
      </c>
      <c r="H102" s="76" t="str">
        <f>IFERROR(INDEX('Product Catalog'!$C$7:$C$22,MATCH(G102,'Product Catalog'!$B$7:$B$22,0)),"")</f>
        <v>Marlow Hand-Loomed Cushion Cover</v>
      </c>
      <c r="I102" s="92" t="str">
        <f>IFERROR(INDEX('Product Catalog'!$D$7:$D$22,MATCH(G102,'Product Catalog'!$B$7:$B$22,0)),"")</f>
        <v>Textiles</v>
      </c>
      <c r="J102" s="93" t="n">
        <v>432</v>
      </c>
      <c r="K102" s="80" t="str">
        <f>IFERROR(INDEX('Regional Markets'!$D$8:$D$15,MATCH(E102,'Regional Markets'!$B$8:$B$15,0)),"")</f>
        <v>GBP</v>
      </c>
      <c r="L102" s="94">
        <f>ROUND(INDEX('Product Catalog'!$I$7:$I$22,MATCH(G102,'Product Catalog'!$B$7:$B$22,0))*INDEX('Regional Markets'!$E$8:$E$15,MATCH(E102,'Regional Markets'!$B$8:$B$15,0)),IF(K102="JPY",0,2))</f>
        <v>30.42</v>
      </c>
      <c r="M102" s="79" t="n">
        <v>0.14</v>
      </c>
      <c r="N102" s="94">
        <f>J102*L102*(1-M102)</f>
        <v>11301.6384</v>
      </c>
      <c r="O102" s="78">
        <f>N102/INDEX('Regional Markets'!$E$8:$E$15,MATCH(E102,'Regional Markets'!$B$8:$B$15,0))</f>
        <v>14489.28</v>
      </c>
      <c r="P102" s="80" t="inlineStr">
        <is>
          <t>On Hold</t>
        </is>
      </c>
      <c r="Q102" s="91" t="n">
        <v>46314</v>
      </c>
      <c r="R102" s="76" t="inlineStr">
        <is>
          <t>Deliver to Milton Keynes DC; ASN required 24 hours before arrival.</t>
        </is>
      </c>
    </row>
    <row r="103" ht="34.4" customHeight="1">
      <c r="B103" s="90" t="inlineStr">
        <is>
          <t>SO-26-1136</t>
        </is>
      </c>
      <c r="C103" s="91" t="n">
        <v>46293</v>
      </c>
      <c r="D103" s="76" t="inlineStr">
        <is>
          <t>Northbay Home Supply</t>
        </is>
      </c>
      <c r="E103" s="92" t="inlineStr">
        <is>
          <t>Canada</t>
        </is>
      </c>
      <c r="F103" s="92" t="inlineStr">
        <is>
          <t>Department Store</t>
        </is>
      </c>
      <c r="G103" s="92" t="inlineStr">
        <is>
          <t>LL-DEC-507</t>
        </is>
      </c>
      <c r="H103" s="76" t="str">
        <f>IFERROR(INDEX('Product Catalog'!$C$7:$C$22,MATCH(G103,'Product Catalog'!$B$7:$B$22,0)),"")</f>
        <v>Tarn Wool Area Rug</v>
      </c>
      <c r="I103" s="92" t="str">
        <f>IFERROR(INDEX('Product Catalog'!$D$7:$D$22,MATCH(G103,'Product Catalog'!$B$7:$B$22,0)),"")</f>
        <v>Decor &amp; Rugs</v>
      </c>
      <c r="J103" s="93" t="n">
        <v>32</v>
      </c>
      <c r="K103" s="80" t="str">
        <f>IFERROR(INDEX('Regional Markets'!$D$8:$D$15,MATCH(E103,'Regional Markets'!$B$8:$B$15,0)),"")</f>
        <v>CAD</v>
      </c>
      <c r="L103" s="94">
        <f>ROUND(INDEX('Product Catalog'!$I$7:$I$22,MATCH(G103,'Product Catalog'!$B$7:$B$22,0))*INDEX('Regional Markets'!$E$8:$E$15,MATCH(E103,'Regional Markets'!$B$8:$B$15,0)),IF(K103="JPY",0,2))</f>
        <v>739.8</v>
      </c>
      <c r="M103" s="79" t="n">
        <v>0.09</v>
      </c>
      <c r="N103" s="94">
        <f>J103*L103*(1-M103)</f>
        <v>21542.976</v>
      </c>
      <c r="O103" s="78">
        <f>N103/INDEX('Regional Markets'!$E$8:$E$15,MATCH(E103,'Regional Markets'!$B$8:$B$15,0))</f>
        <v>15724.8</v>
      </c>
      <c r="P103" s="80" t="inlineStr">
        <is>
          <t>In Transit</t>
        </is>
      </c>
      <c r="Q103" s="91" t="n">
        <v>46321</v>
      </c>
      <c r="R103" s="76" t="inlineStr">
        <is>
          <t>Consolidate with other open orders for Northbay where possible.</t>
        </is>
      </c>
    </row>
    <row r="104" ht="34.4" customHeight="1">
      <c r="B104" s="90" t="inlineStr">
        <is>
          <t>SO-26-1137</t>
        </is>
      </c>
      <c r="C104" s="91" t="n">
        <v>46293</v>
      </c>
      <c r="D104" s="76" t="inlineStr">
        <is>
          <t>Galeries Ombre</t>
        </is>
      </c>
      <c r="E104" s="92" t="inlineStr">
        <is>
          <t>France</t>
        </is>
      </c>
      <c r="F104" s="92" t="inlineStr">
        <is>
          <t>Department Store</t>
        </is>
      </c>
      <c r="G104" s="92" t="inlineStr">
        <is>
          <t>LL-TXT-214</t>
        </is>
      </c>
      <c r="H104" s="76" t="str">
        <f>IFERROR(INDEX('Product Catalog'!$C$7:$C$22,MATCH(G104,'Product Catalog'!$B$7:$B$22,0)),"")</f>
        <v>Kesa Organic Cotton Towel Set</v>
      </c>
      <c r="I104" s="92" t="str">
        <f>IFERROR(INDEX('Product Catalog'!$D$7:$D$22,MATCH(G104,'Product Catalog'!$B$7:$B$22,0)),"")</f>
        <v>Textiles</v>
      </c>
      <c r="J104" s="93" t="n">
        <v>192</v>
      </c>
      <c r="K104" s="80" t="str">
        <f>IFERROR(INDEX('Regional Markets'!$D$8:$D$15,MATCH(E104,'Regional Markets'!$B$8:$B$15,0)),"")</f>
        <v>EUR</v>
      </c>
      <c r="L104" s="94">
        <f>ROUND(INDEX('Product Catalog'!$I$7:$I$22,MATCH(G104,'Product Catalog'!$B$7:$B$22,0))*INDEX('Regional Markets'!$E$8:$E$15,MATCH(E104,'Regional Markets'!$B$8:$B$15,0)),IF(K104="JPY",0,2))</f>
        <v>72.68</v>
      </c>
      <c r="M104" s="79" t="n">
        <v>0.13</v>
      </c>
      <c r="N104" s="94">
        <f>J104*L104*(1-M104)</f>
        <v>12140.4672</v>
      </c>
      <c r="O104" s="78">
        <f>N104/INDEX('Regional Markets'!$E$8:$E$15,MATCH(E104,'Regional Markets'!$B$8:$B$15,0))</f>
        <v>13196.16</v>
      </c>
      <c r="P104" s="80" t="inlineStr">
        <is>
          <t>Processing</t>
        </is>
      </c>
      <c r="Q104" s="91" t="n">
        <v>46316</v>
      </c>
      <c r="R104" s="76" t="inlineStr">
        <is>
          <t>Ship complete only; do not release partial quantities.</t>
        </is>
      </c>
    </row>
    <row r="105" ht="34.4" customHeight="1">
      <c r="B105" s="90" t="inlineStr">
        <is>
          <t>SO-26-1138</t>
        </is>
      </c>
      <c r="C105" s="91" t="n">
        <v>46293</v>
      </c>
      <c r="D105" s="76" t="inlineStr">
        <is>
          <t>Harbor &amp; Pine Home</t>
        </is>
      </c>
      <c r="E105" s="92" t="inlineStr">
        <is>
          <t>United States</t>
        </is>
      </c>
      <c r="F105" s="92" t="inlineStr">
        <is>
          <t>Retail Partner</t>
        </is>
      </c>
      <c r="G105" s="92" t="inlineStr">
        <is>
          <t>LL-KIT-406</t>
        </is>
      </c>
      <c r="H105" s="76" t="str">
        <f>IFERROR(INDEX('Product Catalog'!$C$7:$C$22,MATCH(G105,'Product Catalog'!$B$7:$B$22,0)),"")</f>
        <v>Aska Enamelled Cast Iron Casserole</v>
      </c>
      <c r="I105" s="92" t="str">
        <f>IFERROR(INDEX('Product Catalog'!$D$7:$D$22,MATCH(G105,'Product Catalog'!$B$7:$B$22,0)),"")</f>
        <v>Kitchen &amp; Dining</v>
      </c>
      <c r="J105" s="93" t="n">
        <v>60</v>
      </c>
      <c r="K105" s="80" t="str">
        <f>IFERROR(INDEX('Regional Markets'!$D$8:$D$15,MATCH(E105,'Regional Markets'!$B$8:$B$15,0)),"")</f>
        <v>USD</v>
      </c>
      <c r="L105" s="94">
        <f>ROUND(INDEX('Product Catalog'!$I$7:$I$22,MATCH(G105,'Product Catalog'!$B$7:$B$22,0))*INDEX('Regional Markets'!$E$8:$E$15,MATCH(E105,'Regional Markets'!$B$8:$B$15,0)),IF(K105="JPY",0,2))</f>
        <v>210</v>
      </c>
      <c r="M105" s="79" t="n">
        <v>0.075</v>
      </c>
      <c r="N105" s="94">
        <f>J105*L105*(1-M105)</f>
        <v>11655</v>
      </c>
      <c r="O105" s="78">
        <f>N105/INDEX('Regional Markets'!$E$8:$E$15,MATCH(E105,'Regional Markets'!$B$8:$B$15,0))</f>
        <v>11655</v>
      </c>
      <c r="P105" s="80" t="inlineStr">
        <is>
          <t>Processing</t>
        </is>
      </c>
      <c r="Q105" s="91" t="n">
        <v>46322</v>
      </c>
      <c r="R105" s="76" t="inlineStr">
        <is>
          <t>Deliver to Chicago DC; book a dock appointment at least 48 hours in advance.</t>
        </is>
      </c>
    </row>
    <row r="106" ht="34.4" customHeight="1">
      <c r="B106" s="90" t="inlineStr">
        <is>
          <t>SO-26-1139</t>
        </is>
      </c>
      <c r="C106" s="91" t="n">
        <v>46294</v>
      </c>
      <c r="D106" s="76" t="inlineStr">
        <is>
          <t>Oakline Hospitality Group</t>
        </is>
      </c>
      <c r="E106" s="92" t="inlineStr">
        <is>
          <t>United States</t>
        </is>
      </c>
      <c r="F106" s="92" t="inlineStr">
        <is>
          <t>Contract / Hospitality</t>
        </is>
      </c>
      <c r="G106" s="92" t="inlineStr">
        <is>
          <t>LL-FUR-301</t>
        </is>
      </c>
      <c r="H106" s="76" t="str">
        <f>IFERROR(INDEX('Product Catalog'!$C$7:$C$22,MATCH(G106,'Product Catalog'!$B$7:$B$22,0)),"")</f>
        <v>Tove Solid Oak Dining Chair</v>
      </c>
      <c r="I106" s="92" t="str">
        <f>IFERROR(INDEX('Product Catalog'!$D$7:$D$22,MATCH(G106,'Product Catalog'!$B$7:$B$22,0)),"")</f>
        <v>Furniture</v>
      </c>
      <c r="J106" s="93" t="n">
        <v>192</v>
      </c>
      <c r="K106" s="80" t="str">
        <f>IFERROR(INDEX('Regional Markets'!$D$8:$D$15,MATCH(E106,'Regional Markets'!$B$8:$B$15,0)),"")</f>
        <v>USD</v>
      </c>
      <c r="L106" s="94">
        <f>ROUND(INDEX('Product Catalog'!$I$7:$I$22,MATCH(G106,'Product Catalog'!$B$7:$B$22,0))*INDEX('Regional Markets'!$E$8:$E$15,MATCH(E106,'Regional Markets'!$B$8:$B$15,0)),IF(K106="JPY",0,2))</f>
        <v>245</v>
      </c>
      <c r="M106" s="79" t="n">
        <v>0.16</v>
      </c>
      <c r="N106" s="94">
        <f>J106*L106*(1-M106)</f>
        <v>39513.6</v>
      </c>
      <c r="O106" s="78">
        <f>N106/INDEX('Regional Markets'!$E$8:$E$15,MATCH(E106,'Regional Markets'!$B$8:$B$15,0))</f>
        <v>39513.6</v>
      </c>
      <c r="P106" s="80" t="inlineStr">
        <is>
          <t>Processing</t>
        </is>
      </c>
      <c r="Q106" s="91" t="n">
        <v>46349</v>
      </c>
      <c r="R106" s="76" t="inlineStr">
        <is>
          <t>Deliver to site with a lift-gate truck; the building has no loading dock.</t>
        </is>
      </c>
    </row>
    <row r="107" ht="21.2" customHeight="1">
      <c r="B107" s="90" t="inlineStr">
        <is>
          <t>SO-26-1140</t>
        </is>
      </c>
      <c r="C107" s="91" t="n">
        <v>46294</v>
      </c>
      <c r="D107" s="76" t="inlineStr">
        <is>
          <t>Saltbush Home</t>
        </is>
      </c>
      <c r="E107" s="92" t="inlineStr">
        <is>
          <t>Australia</t>
        </is>
      </c>
      <c r="F107" s="92" t="inlineStr">
        <is>
          <t>Retail Partner</t>
        </is>
      </c>
      <c r="G107" s="92" t="inlineStr">
        <is>
          <t>LL-FUR-316</t>
        </is>
      </c>
      <c r="H107" s="76" t="str">
        <f>IFERROR(INDEX('Product Catalog'!$C$7:$C$22,MATCH(G107,'Product Catalog'!$B$7:$B$22,0)),"")</f>
        <v>Liss Walnut Side Table</v>
      </c>
      <c r="I107" s="92" t="str">
        <f>IFERROR(INDEX('Product Catalog'!$D$7:$D$22,MATCH(G107,'Product Catalog'!$B$7:$B$22,0)),"")</f>
        <v>Furniture</v>
      </c>
      <c r="J107" s="93" t="n">
        <v>36</v>
      </c>
      <c r="K107" s="80" t="str">
        <f>IFERROR(INDEX('Regional Markets'!$D$8:$D$15,MATCH(E107,'Regional Markets'!$B$8:$B$15,0)),"")</f>
        <v>AUD</v>
      </c>
      <c r="L107" s="94">
        <f>ROUND(INDEX('Product Catalog'!$I$7:$I$22,MATCH(G107,'Product Catalog'!$B$7:$B$22,0))*INDEX('Regional Markets'!$E$8:$E$15,MATCH(E107,'Regional Markets'!$B$8:$B$15,0)),IF(K107="JPY",0,2))</f>
        <v>425.6</v>
      </c>
      <c r="M107" s="79" t="n">
        <v>0.07000000000000001</v>
      </c>
      <c r="N107" s="94">
        <f>J107*L107*(1-M107)</f>
        <v>14249.088</v>
      </c>
      <c r="O107" s="78">
        <f>N107/INDEX('Regional Markets'!$E$8:$E$15,MATCH(E107,'Regional Markets'!$B$8:$B$15,0))</f>
        <v>9374.4</v>
      </c>
      <c r="P107" s="80" t="inlineStr">
        <is>
          <t>Processing</t>
        </is>
      </c>
      <c r="Q107" s="91" t="n">
        <v>46321</v>
      </c>
      <c r="R107" s="76" t="inlineStr">
        <is>
          <t>Heat-treated (ISPM 15) pallets only.</t>
        </is>
      </c>
    </row>
  </sheetData>
  <autoFilter ref="B7:R107"/>
  <mergeCells count="1">
    <mergeCell ref="B4:R4"/>
  </mergeCells>
  <conditionalFormatting sqref="P8:P107">
    <cfRule type="expression" priority="1" dxfId="5" stopIfTrue="1">
      <formula>P8=$L$5</formula>
    </cfRule>
    <cfRule type="expression" priority="2" dxfId="6" stopIfTrue="1">
      <formula>P8=$M$5</formula>
    </cfRule>
    <cfRule type="expression" priority="3" dxfId="7" stopIfTrue="1">
      <formula>P8=$N$5</formula>
    </cfRule>
    <cfRule type="expression" priority="4" dxfId="8" stopIfTrue="1">
      <formula>P8=$O$5</formula>
    </cfRule>
    <cfRule type="expression" priority="5" dxfId="9" stopIfTrue="1">
      <formula>P8=$P$5</formula>
    </cfRule>
  </conditionalFormatting>
  <conditionalFormatting sqref="B8:O107">
    <cfRule type="expression" priority="6" dxfId="10" stopIfTrue="0">
      <formula>$P8=$P$5</formula>
    </cfRule>
  </conditionalFormatting>
  <conditionalFormatting sqref="L8:L107">
    <cfRule type="expression" priority="7" dxfId="11" stopIfTrue="1">
      <formula>AND($K8="JPY",MOD(ROW(),2)=0)</formula>
    </cfRule>
    <cfRule type="expression" priority="8" dxfId="12" stopIfTrue="1">
      <formula>$K8="JPY"</formula>
    </cfRule>
  </conditionalFormatting>
  <conditionalFormatting sqref="N8:N107">
    <cfRule type="expression" priority="9" dxfId="11" stopIfTrue="1">
      <formula>AND($K8="JPY",MOD(ROW(),2)=0)</formula>
    </cfRule>
    <cfRule type="expression" priority="10" dxfId="12" stopIfTrue="1">
      <formula>$K8="JPY"</formula>
    </cfRule>
  </conditionalFormatting>
  <conditionalFormatting sqref="B8:R107">
    <cfRule type="expression" priority="11" dxfId="3">
      <formula>MOD(ROW(),2)=0</formula>
    </cfRule>
  </conditionalFormatting>
  <dataValidations count="5">
    <dataValidation sqref="P8:P107" showDropDown="0" showInputMessage="0" showErrorMessage="1" allowBlank="0" errorTitle="Invalid status" error="Select a delivery status from the list." type="list">
      <formula1>=$L$5:$P$5</formula1>
    </dataValidation>
    <dataValidation sqref="M8:M107" showDropDown="0" showInputMessage="0" showErrorMessage="1" allowBlank="0" errorTitle="Discount out of range" error="Trade discounts must be between 0% and 30%. Higher discounts require approval." type="decimal" operator="between">
      <formula1>0</formula1>
      <formula2>0.3</formula2>
    </dataValidation>
    <dataValidation sqref="G8:G107" showDropDown="0" showInputMessage="0" showErrorMessage="1" allowBlank="0" errorTitle="Unknown SKU" error="Enter a SKU from the Product Catalog." type="list">
      <formula1>='Product Catalog'!$B$7:$B$22</formula1>
    </dataValidation>
    <dataValidation sqref="E8:E107" showDropDown="0" showInputMessage="0" showErrorMessage="1" allowBlank="0" errorTitle="Unknown market" error="Select a market listed on the Regional Markets sheet." type="list">
      <formula1>='Regional Markets'!$B$8:$B$15</formula1>
    </dataValidation>
    <dataValidation sqref="J8:J107" showDropDown="0" showInputMessage="0" showErrorMessage="1" allowBlank="0" errorTitle="Invalid quantity" error="Quantity must be a whole number greater than zero." type="whole" operator="greaterThan">
      <formula1>0</formula1>
    </dataValidation>
  </dataValidations>
  <pageMargins left="0.4" right="0.4" top="0.5" bottom="0.5" header="0.5" footer="0.5"/>
  <pageSetup orientation="landscape" paperSize="9" fitToHeight="0" fitToWidth="1"/>
  <headerFooter>
    <oddHeader/>
    <oddFooter>&amp;L&amp;8 Linden &amp; Loom · Global Sales &amp; Operations Report FY2026&amp;R&amp;8 &amp;A · Page &amp;P of &amp;N</oddFooter>
    <evenHeader/>
    <evenFooter/>
    <firstHeader/>
    <firstFooter/>
  </headerFooter>
</worksheet>
</file>

<file path=xl/worksheets/sheet5.xml><?xml version="1.0" encoding="utf-8"?>
<worksheet xmlns="http://schemas.openxmlformats.org/spreadsheetml/2006/main">
  <sheetPr>
    <tabColor rgb="003F7A5F"/>
    <outlinePr summaryBelow="1" summaryRight="1"/>
    <pageSetUpPr fitToPage="1"/>
  </sheetPr>
  <dimension ref="A1:X49"/>
  <sheetViews>
    <sheetView showGridLines="0" workbookViewId="0">
      <selection activeCell="A1" sqref="A1"/>
    </sheetView>
  </sheetViews>
  <sheetFormatPr baseColWidth="8" defaultRowHeight="15"/>
  <cols>
    <col width="2.5" customWidth="1" min="1" max="1"/>
    <col width="13" customWidth="1" min="2" max="2"/>
    <col width="30" customWidth="1" min="3" max="3"/>
    <col width="16" customWidth="1" min="4" max="4"/>
    <col width="14" customWidth="1" min="5" max="5"/>
    <col width="10" customWidth="1" min="6" max="6"/>
    <col width="11" customWidth="1" min="7" max="7"/>
    <col width="11" customWidth="1" min="8" max="8"/>
    <col width="11" customWidth="1" min="9" max="9"/>
    <col width="12" customWidth="1" min="10" max="10"/>
    <col width="10" customWidth="1" min="11" max="11"/>
    <col width="10" customWidth="1" min="12" max="12"/>
    <col width="11" customWidth="1" min="13" max="13"/>
    <col width="12" customWidth="1" min="14" max="14"/>
    <col width="10" customWidth="1" min="15" max="15"/>
    <col width="9" customWidth="1" min="16" max="16"/>
    <col width="12" customWidth="1" min="17" max="17"/>
    <col width="14" customWidth="1" min="18" max="18"/>
    <col width="15" customWidth="1" min="19" max="19"/>
    <col width="46" customWidth="1" min="20" max="20"/>
    <col width="2.5" customWidth="1" min="21" max="21"/>
    <col hidden="1" width="13" customWidth="1" min="22" max="22"/>
    <col hidden="1" width="12" customWidth="1" min="23" max="23"/>
    <col hidden="1" width="12" customWidth="1" min="24" max="24"/>
  </cols>
  <sheetData>
    <row r="1" ht="7" customHeight="1">
      <c r="A1" s="1" t="n"/>
      <c r="B1" s="1" t="n"/>
      <c r="C1" s="1" t="n"/>
      <c r="D1" s="1" t="n"/>
      <c r="E1" s="1" t="n"/>
      <c r="F1" s="1" t="n"/>
      <c r="G1" s="1" t="n"/>
      <c r="H1" s="1" t="n"/>
      <c r="I1" s="1" t="n"/>
      <c r="J1" s="1" t="n"/>
      <c r="K1" s="1" t="n"/>
      <c r="L1" s="1" t="n"/>
      <c r="M1" s="1" t="n"/>
      <c r="N1" s="1" t="n"/>
      <c r="O1" s="1" t="n"/>
      <c r="P1" s="1" t="n"/>
      <c r="Q1" s="1" t="n"/>
      <c r="R1" s="1" t="n"/>
      <c r="S1" s="1" t="n"/>
      <c r="T1" s="1" t="n"/>
      <c r="U1" s="1" t="n"/>
    </row>
    <row r="2" ht="22" customHeight="1">
      <c r="B2" s="53" t="inlineStr">
        <is>
          <t>LINDEN &amp; LOOM · GLOBAL SALES &amp; OPERATIONS REPORT FY2026</t>
        </is>
      </c>
    </row>
    <row r="3" ht="32" customHeight="1">
      <c r="B3" s="54" t="inlineStr">
        <is>
          <t>Inventory &amp; Replenishment</t>
        </is>
      </c>
    </row>
    <row r="4" ht="30" customHeight="1">
      <c r="B4" s="55" t="inlineStr">
        <is>
          <t>Stock position by SKU as of 19 October 2026. Reserved quantities are open orders (Processing or On Hold) on the International Orders sheet; demand is the average monthly volume for January–September. Suggested quantities are rounded up to the supplier minimum order quantity (MOQ).</t>
        </is>
      </c>
    </row>
    <row r="5" ht="10" customHeight="1"/>
    <row r="6" ht="22" customHeight="1">
      <c r="B6" s="95" t="inlineStr">
        <is>
          <t>INVENTORY VALUE AT COST</t>
        </is>
      </c>
      <c r="C6" s="96" t="n"/>
      <c r="D6" s="95" t="inlineStr">
        <is>
          <t>RESERVED FOR OPEN ORDERS</t>
        </is>
      </c>
      <c r="E6" s="96" t="n"/>
      <c r="F6" s="95" t="inlineStr">
        <is>
          <t>SKUs TO REORDER</t>
        </is>
      </c>
      <c r="G6" s="97" t="n"/>
      <c r="H6" s="96" t="n"/>
      <c r="I6" s="95" t="inlineStr">
        <is>
          <t>SUGGESTED REPLENISHMENT (USD)</t>
        </is>
      </c>
      <c r="J6" s="97" t="n"/>
      <c r="K6" s="97" t="n"/>
      <c r="L6" s="96" t="n"/>
      <c r="N6" s="98" t="inlineStr">
        <is>
          <t>Months of demand in the period (Jan–Sep)</t>
        </is>
      </c>
      <c r="O6" s="99" t="n"/>
      <c r="P6" s="99" t="n"/>
      <c r="Q6" s="99" t="n"/>
      <c r="R6" s="100" t="n">
        <v>9</v>
      </c>
      <c r="S6" s="101" t="inlineStr">
        <is>
          <t>Planning inputs. Change the blue figures to update demand, reorder points and suggested order quantities for every SKU.</t>
        </is>
      </c>
    </row>
    <row r="7" ht="30" customHeight="1">
      <c r="B7" s="102">
        <f>SUMPRODUCT(F13:F28,SUMIF('Product Catalog'!$B$7:$B$22,B13:B28,'Product Catalog'!$J$7:$J$22))</f>
        <v>439537</v>
      </c>
      <c r="C7" s="103" t="n"/>
      <c r="D7" s="104">
        <f>G29</f>
        <v>1496</v>
      </c>
      <c r="E7" s="103" t="n"/>
      <c r="F7" s="105">
        <f>COUNTIF(S13:S28,$R$11)+COUNTIF(S13:S28,$S$11)</f>
        <v>4</v>
      </c>
      <c r="H7" s="103" t="n"/>
      <c r="I7" s="102">
        <f>R29</f>
        <v>66460</v>
      </c>
      <c r="L7" s="103" t="n"/>
      <c r="N7" s="98" t="inlineStr">
        <is>
          <t>Target cover after a reorder (days)</t>
        </is>
      </c>
      <c r="O7" s="99" t="n"/>
      <c r="P7" s="99" t="n"/>
      <c r="Q7" s="99" t="n"/>
      <c r="R7" s="100" t="n">
        <v>60</v>
      </c>
    </row>
    <row r="8" ht="22" customHeight="1">
      <c r="B8" s="106">
        <f>SUM(F13:F28)</f>
        <v>7640</v>
      </c>
      <c r="C8" s="103" t="n"/>
      <c r="D8" s="107">
        <f>IFERROR(G29/F29,0)</f>
        <v>0.195811518324607</v>
      </c>
      <c r="E8" s="103" t="n"/>
      <c r="F8" s="108">
        <f>COUNTIF(S13:S28,$S$11)</f>
        <v>1</v>
      </c>
      <c r="H8" s="103" t="n"/>
      <c r="I8" s="109">
        <f>Q29</f>
        <v>1634</v>
      </c>
      <c r="L8" s="103" t="n"/>
      <c r="N8" s="98" t="inlineStr">
        <is>
          <t>Watch buffer above the reorder point</t>
        </is>
      </c>
      <c r="O8" s="99" t="n"/>
      <c r="P8" s="99" t="n"/>
      <c r="Q8" s="99" t="n"/>
      <c r="R8" s="110" t="n">
        <v>0.25</v>
      </c>
    </row>
    <row r="9" ht="8" customHeight="1"/>
    <row r="10" ht="12" customHeight="1"/>
    <row r="11" ht="24" customHeight="1">
      <c r="B11" s="21" t="inlineStr">
        <is>
          <t>Stock position by SKU</t>
        </is>
      </c>
      <c r="C11" s="22" t="n"/>
      <c r="D11" s="22" t="n"/>
      <c r="E11" s="22" t="n"/>
      <c r="F11" s="22" t="n"/>
      <c r="G11" s="22" t="n"/>
      <c r="H11" s="22" t="n"/>
      <c r="I11" s="22" t="n"/>
      <c r="J11" s="22" t="n"/>
      <c r="K11" s="22" t="n"/>
      <c r="L11" s="22" t="n"/>
      <c r="M11" s="22" t="n"/>
      <c r="N11" s="22" t="n"/>
      <c r="O11" s="3" t="inlineStr">
        <is>
          <t>Status key</t>
        </is>
      </c>
      <c r="P11" s="85" t="inlineStr">
        <is>
          <t>Healthy</t>
        </is>
      </c>
      <c r="Q11" s="87" t="inlineStr">
        <is>
          <t>Watch</t>
        </is>
      </c>
      <c r="R11" s="88" t="inlineStr">
        <is>
          <t>Reorder now</t>
        </is>
      </c>
      <c r="S11" s="111" t="inlineStr">
        <is>
          <t>Stockout risk</t>
        </is>
      </c>
    </row>
    <row r="12" ht="44" customHeight="1">
      <c r="B12" s="56" t="inlineStr">
        <is>
          <t>SKU</t>
        </is>
      </c>
      <c r="C12" s="56" t="inlineStr">
        <is>
          <t>Product</t>
        </is>
      </c>
      <c r="D12" s="56" t="inlineStr">
        <is>
          <t>Category</t>
        </is>
      </c>
      <c r="E12" s="56" t="inlineStr">
        <is>
          <t>Primary DC</t>
        </is>
      </c>
      <c r="F12" s="56" t="inlineStr">
        <is>
          <t>On hand</t>
        </is>
      </c>
      <c r="G12" s="56" t="inlineStr">
        <is>
          <t>Reserved (open orders)</t>
        </is>
      </c>
      <c r="H12" s="56" t="inlineStr">
        <is>
          <t>Available</t>
        </is>
      </c>
      <c r="I12" s="56" t="inlineStr">
        <is>
          <t>Inbound POs</t>
        </is>
      </c>
      <c r="J12" s="56" t="inlineStr">
        <is>
          <t>Avg monthly demand</t>
        </is>
      </c>
      <c r="K12" s="56" t="inlineStr">
        <is>
          <t>Lead time (days)</t>
        </is>
      </c>
      <c r="L12" s="56" t="inlineStr">
        <is>
          <t>Safety stock (days)</t>
        </is>
      </c>
      <c r="M12" s="56" t="inlineStr">
        <is>
          <t>Reorder point</t>
        </is>
      </c>
      <c r="N12" s="56" t="inlineStr">
        <is>
          <t>Projected position</t>
        </is>
      </c>
      <c r="O12" s="56" t="inlineStr">
        <is>
          <t>Cover (days)</t>
        </is>
      </c>
      <c r="P12" s="56" t="inlineStr">
        <is>
          <t>MOQ</t>
        </is>
      </c>
      <c r="Q12" s="56" t="inlineStr">
        <is>
          <t>Suggested reorder qty</t>
        </is>
      </c>
      <c r="R12" s="56" t="inlineStr">
        <is>
          <t>Reorder value (USD)</t>
        </is>
      </c>
      <c r="S12" s="56" t="inlineStr">
        <is>
          <t>Stock status</t>
        </is>
      </c>
      <c r="T12" s="56" t="inlineStr">
        <is>
          <t>Planner note</t>
        </is>
      </c>
      <c r="V12" s="112" t="inlineStr">
        <is>
          <t>Chart data</t>
        </is>
      </c>
      <c r="W12" s="112" t="inlineStr">
        <is>
          <t>Days of cover</t>
        </is>
      </c>
      <c r="X12" s="112" t="inlineStr">
        <is>
          <t>Reorder trigger (days)</t>
        </is>
      </c>
    </row>
    <row r="13" ht="47.6" customHeight="1">
      <c r="B13" s="90" t="inlineStr">
        <is>
          <t>LL-LGT-101</t>
        </is>
      </c>
      <c r="C13" s="76" t="str">
        <f>IFERROR(INDEX('Product Catalog'!$C$7:$C$22,MATCH(B13,'Product Catalog'!$B$7:$B$22,0)),"")</f>
        <v>Halden Linen Pendant Lamp</v>
      </c>
      <c r="D13" s="92" t="str">
        <f>IFERROR(INDEX('Product Catalog'!$D$7:$D$22,MATCH(B13,'Product Catalog'!$B$7:$B$22,0)),"")</f>
        <v>Lighting</v>
      </c>
      <c r="E13" s="92" t="inlineStr">
        <is>
          <t>Rotterdam, NL</t>
        </is>
      </c>
      <c r="F13" s="113" t="n">
        <v>60</v>
      </c>
      <c r="G13" s="93">
        <f>SUMIFS('International Orders'!$J$8:$J$107,'International Orders'!$G$8:$G$107,$B13,'International Orders'!$P$8:$P$107,'International Orders'!$N$5)+SUMIFS('International Orders'!$J$8:$J$107,'International Orders'!$G$8:$G$107,$B13,'International Orders'!$P$8:$P$107,'International Orders'!$O$5)</f>
        <v>0</v>
      </c>
      <c r="H13" s="114">
        <f>F13-G13</f>
        <v>60</v>
      </c>
      <c r="I13" s="113" t="n">
        <v>0</v>
      </c>
      <c r="J13" s="93">
        <f>SUMIFS('International Orders'!$J$8:$J$107,'International Orders'!$G$8:$G$107,$B13,'International Orders'!$P$8:$P$107,"&lt;&gt;"&amp;'International Orders'!$P$5)/$R$6</f>
        <v>10.6666666666667</v>
      </c>
      <c r="K13" s="113" t="n">
        <v>56</v>
      </c>
      <c r="L13" s="113" t="n">
        <v>21</v>
      </c>
      <c r="M13" s="93">
        <f>ROUND(J13/30*(K13+L13),0)</f>
        <v>27</v>
      </c>
      <c r="N13" s="93">
        <f>H13+I13</f>
        <v>60</v>
      </c>
      <c r="O13" s="115">
        <f>IFERROR(N13/(J13/30),0)</f>
        <v>168.75</v>
      </c>
      <c r="P13" s="113" t="n">
        <v>24</v>
      </c>
      <c r="Q13" s="116">
        <f>IF(OR(H13&lt;=0,N13&lt;=M13),ROUNDUP((M13+J13/30*$R$7-N13)/P13,0)*P13,0)</f>
        <v>0</v>
      </c>
      <c r="R13" s="117">
        <f>Q13*IFERROR(INDEX('Product Catalog'!$J$7:$J$22,MATCH(B13,'Product Catalog'!$B$7:$B$22,0)),0)</f>
        <v>0</v>
      </c>
      <c r="S13" s="80" t="str">
        <f>IF(H13&lt;=0,$S$11,IF(N13&lt;=M13,$R$11,IF(N13&lt;=M13*(1+$R$8),$Q$11,$P$11)))</f>
        <v>Healthy</v>
      </c>
      <c r="T13" s="76" t="inlineStr">
        <is>
          <t>Stock covers the Q4 contract pipeline. Next review after the November hotel tenders.</t>
        </is>
      </c>
      <c r="V13" s="118" t="str">
        <f>B13</f>
        <v>LL-LGT-101</v>
      </c>
      <c r="W13" s="119">
        <f>MIN(O13,240)</f>
        <v>168.75</v>
      </c>
      <c r="X13" s="119">
        <f>K13+L13</f>
        <v>77</v>
      </c>
    </row>
    <row r="14" ht="47.6" customHeight="1">
      <c r="B14" s="90" t="inlineStr">
        <is>
          <t>LL-LGT-104</t>
        </is>
      </c>
      <c r="C14" s="76" t="str">
        <f>IFERROR(INDEX('Product Catalog'!$C$7:$C$22,MATCH(B14,'Product Catalog'!$B$7:$B$22,0)),"")</f>
        <v>Sora Ceramic Table Lamp</v>
      </c>
      <c r="D14" s="92" t="str">
        <f>IFERROR(INDEX('Product Catalog'!$D$7:$D$22,MATCH(B14,'Product Catalog'!$B$7:$B$22,0)),"")</f>
        <v>Lighting</v>
      </c>
      <c r="E14" s="92" t="inlineStr">
        <is>
          <t>Rotterdam, NL</t>
        </is>
      </c>
      <c r="F14" s="113" t="n">
        <v>613</v>
      </c>
      <c r="G14" s="93">
        <f>SUMIFS('International Orders'!$J$8:$J$107,'International Orders'!$G$8:$G$107,$B14,'International Orders'!$P$8:$P$107,'International Orders'!$N$5)+SUMIFS('International Orders'!$J$8:$J$107,'International Orders'!$G$8:$G$107,$B14,'International Orders'!$P$8:$P$107,'International Orders'!$O$5)</f>
        <v>0</v>
      </c>
      <c r="H14" s="114">
        <f>F14-G14</f>
        <v>613</v>
      </c>
      <c r="I14" s="113" t="n">
        <v>0</v>
      </c>
      <c r="J14" s="93">
        <f>SUMIFS('International Orders'!$J$8:$J$107,'International Orders'!$G$8:$G$107,$B14,'International Orders'!$P$8:$P$107,"&lt;&gt;"&amp;'International Orders'!$P$5)/$R$6</f>
        <v>194.888888888889</v>
      </c>
      <c r="K14" s="113" t="n">
        <v>63</v>
      </c>
      <c r="L14" s="113" t="n">
        <v>21</v>
      </c>
      <c r="M14" s="93">
        <f>ROUND(J14/30*(K14+L14),0)</f>
        <v>546</v>
      </c>
      <c r="N14" s="93">
        <f>H14+I14</f>
        <v>613</v>
      </c>
      <c r="O14" s="115">
        <f>IFERROR(N14/(J14/30),0)</f>
        <v>94.3614595210946</v>
      </c>
      <c r="P14" s="113" t="n">
        <v>24</v>
      </c>
      <c r="Q14" s="116">
        <f>IF(OR(H14&lt;=0,N14&lt;=M14),ROUNDUP((M14+J14/30*$R$7-N14)/P14,0)*P14,0)</f>
        <v>0</v>
      </c>
      <c r="R14" s="117">
        <f>Q14*IFERROR(INDEX('Product Catalog'!$J$7:$J$22,MATCH(B14,'Product Catalog'!$B$7:$B$22,0)),0)</f>
        <v>0</v>
      </c>
      <c r="S14" s="80" t="str">
        <f>IF(H14&lt;=0,$S$11,IF(N14&lt;=M14,$R$11,IF(N14&lt;=M14*(1+$R$8),$Q$11,$P$11)))</f>
        <v>Watch</v>
      </c>
      <c r="T14" s="76" t="inlineStr">
        <is>
          <t>Japanese demand is ahead of plan. PSE-marked stock is limited to the Rotterdam DC.</t>
        </is>
      </c>
      <c r="V14" s="118" t="str">
        <f>B14</f>
        <v>LL-LGT-104</v>
      </c>
      <c r="W14" s="119">
        <f>MIN(O14,240)</f>
        <v>94.3614595210946</v>
      </c>
      <c r="X14" s="119">
        <f>K14+L14</f>
        <v>84</v>
      </c>
    </row>
    <row r="15" ht="47.6" customHeight="1">
      <c r="B15" s="90" t="inlineStr">
        <is>
          <t>LL-LGT-112</t>
        </is>
      </c>
      <c r="C15" s="76" t="str">
        <f>IFERROR(INDEX('Product Catalog'!$C$7:$C$22,MATCH(B15,'Product Catalog'!$B$7:$B$22,0)),"")</f>
        <v>Vik Brass Floor Lamp</v>
      </c>
      <c r="D15" s="92" t="str">
        <f>IFERROR(INDEX('Product Catalog'!$D$7:$D$22,MATCH(B15,'Product Catalog'!$B$7:$B$22,0)),"")</f>
        <v>Lighting</v>
      </c>
      <c r="E15" s="92" t="inlineStr">
        <is>
          <t>Newark, US</t>
        </is>
      </c>
      <c r="F15" s="113" t="n">
        <v>86</v>
      </c>
      <c r="G15" s="93">
        <f>SUMIFS('International Orders'!$J$8:$J$107,'International Orders'!$G$8:$G$107,$B15,'International Orders'!$P$8:$P$107,'International Orders'!$N$5)+SUMIFS('International Orders'!$J$8:$J$107,'International Orders'!$G$8:$G$107,$B15,'International Orders'!$P$8:$P$107,'International Orders'!$O$5)</f>
        <v>0</v>
      </c>
      <c r="H15" s="114">
        <f>F15-G15</f>
        <v>86</v>
      </c>
      <c r="I15" s="113" t="n">
        <v>0</v>
      </c>
      <c r="J15" s="93">
        <f>SUMIFS('International Orders'!$J$8:$J$107,'International Orders'!$G$8:$G$107,$B15,'International Orders'!$P$8:$P$107,"&lt;&gt;"&amp;'International Orders'!$P$5)/$R$6</f>
        <v>14.6666666666667</v>
      </c>
      <c r="K15" s="113" t="n">
        <v>70</v>
      </c>
      <c r="L15" s="113" t="n">
        <v>21</v>
      </c>
      <c r="M15" s="93">
        <f>ROUND(J15/30*(K15+L15),0)</f>
        <v>44</v>
      </c>
      <c r="N15" s="93">
        <f>H15+I15</f>
        <v>86</v>
      </c>
      <c r="O15" s="115">
        <f>IFERROR(N15/(J15/30),0)</f>
        <v>175.909090909091</v>
      </c>
      <c r="P15" s="113" t="n">
        <v>12</v>
      </c>
      <c r="Q15" s="116">
        <f>IF(OR(H15&lt;=0,N15&lt;=M15),ROUNDUP((M15+J15/30*$R$7-N15)/P15,0)*P15,0)</f>
        <v>0</v>
      </c>
      <c r="R15" s="117">
        <f>Q15*IFERROR(INDEX('Product Catalog'!$J$7:$J$22,MATCH(B15,'Product Catalog'!$B$7:$B$22,0)),0)</f>
        <v>0</v>
      </c>
      <c r="S15" s="80" t="str">
        <f>IF(H15&lt;=0,$S$11,IF(N15&lt;=M15,$R$11,IF(N15&lt;=M15*(1+$R$8),$Q$11,$P$11)))</f>
        <v>Healthy</v>
      </c>
      <c r="T15" s="76" t="inlineStr">
        <is>
          <t>New in Q2. Monitor sell-through closely before committing to a second production run.</t>
        </is>
      </c>
      <c r="V15" s="118" t="str">
        <f>B15</f>
        <v>LL-LGT-112</v>
      </c>
      <c r="W15" s="119">
        <f>MIN(O15,240)</f>
        <v>175.909090909091</v>
      </c>
      <c r="X15" s="119">
        <f>K15+L15</f>
        <v>91</v>
      </c>
    </row>
    <row r="16" ht="47.6" customHeight="1">
      <c r="B16" s="90" t="inlineStr">
        <is>
          <t>LL-TXT-201</t>
        </is>
      </c>
      <c r="C16" s="76" t="str">
        <f>IFERROR(INDEX('Product Catalog'!$C$7:$C$22,MATCH(B16,'Product Catalog'!$B$7:$B$22,0)),"")</f>
        <v>Arden Stonewashed Linen Duvet Set</v>
      </c>
      <c r="D16" s="92" t="str">
        <f>IFERROR(INDEX('Product Catalog'!$D$7:$D$22,MATCH(B16,'Product Catalog'!$B$7:$B$22,0)),"")</f>
        <v>Textiles</v>
      </c>
      <c r="E16" s="92" t="inlineStr">
        <is>
          <t>Rotterdam, NL</t>
        </is>
      </c>
      <c r="F16" s="113" t="n">
        <v>9</v>
      </c>
      <c r="G16" s="93">
        <f>SUMIFS('International Orders'!$J$8:$J$107,'International Orders'!$G$8:$G$107,$B16,'International Orders'!$P$8:$P$107,'International Orders'!$N$5)+SUMIFS('International Orders'!$J$8:$J$107,'International Orders'!$G$8:$G$107,$B16,'International Orders'!$P$8:$P$107,'International Orders'!$O$5)</f>
        <v>0</v>
      </c>
      <c r="H16" s="114">
        <f>F16-G16</f>
        <v>9</v>
      </c>
      <c r="I16" s="113" t="n">
        <v>0</v>
      </c>
      <c r="J16" s="93">
        <f>SUMIFS('International Orders'!$J$8:$J$107,'International Orders'!$G$8:$G$107,$B16,'International Orders'!$P$8:$P$107,"&lt;&gt;"&amp;'International Orders'!$P$5)/$R$6</f>
        <v>5.77777777777778</v>
      </c>
      <c r="K16" s="113" t="n">
        <v>49</v>
      </c>
      <c r="L16" s="113" t="n">
        <v>14</v>
      </c>
      <c r="M16" s="93">
        <f>ROUND(J16/30*(K16+L16),0)</f>
        <v>12</v>
      </c>
      <c r="N16" s="93">
        <f>H16+I16</f>
        <v>9</v>
      </c>
      <c r="O16" s="115">
        <f>IFERROR(N16/(J16/30),0)</f>
        <v>46.7307692307692</v>
      </c>
      <c r="P16" s="113" t="n">
        <v>48</v>
      </c>
      <c r="Q16" s="116">
        <f>IF(OR(H16&lt;=0,N16&lt;=M16),ROUNDUP((M16+J16/30*$R$7-N16)/P16,0)*P16,0)</f>
        <v>48</v>
      </c>
      <c r="R16" s="117">
        <f>Q16*IFERROR(INDEX('Product Catalog'!$J$7:$J$22,MATCH(B16,'Product Catalog'!$B$7:$B$22,0)),0)</f>
        <v>3936</v>
      </c>
      <c r="S16" s="80" t="str">
        <f>IF(H16&lt;=0,$S$11,IF(N16&lt;=M16,$R$11,IF(N16&lt;=M16*(1+$R$8),$Q$11,$P$11)))</f>
        <v>Reorder now</v>
      </c>
      <c r="T16" s="76" t="inlineStr">
        <is>
          <t>Gifting season peak expected in November. Request an expedited mill slot to avoid a stock gap.</t>
        </is>
      </c>
      <c r="V16" s="118" t="str">
        <f>B16</f>
        <v>LL-TXT-201</v>
      </c>
      <c r="W16" s="119">
        <f>MIN(O16,240)</f>
        <v>46.7307692307692</v>
      </c>
      <c r="X16" s="119">
        <f>K16+L16</f>
        <v>63</v>
      </c>
    </row>
    <row r="17" ht="34.4" customHeight="1">
      <c r="B17" s="90" t="inlineStr">
        <is>
          <t>LL-TXT-205</t>
        </is>
      </c>
      <c r="C17" s="76" t="str">
        <f>IFERROR(INDEX('Product Catalog'!$C$7:$C$22,MATCH(B17,'Product Catalog'!$B$7:$B$22,0)),"")</f>
        <v>Fell Merino Wool Throw</v>
      </c>
      <c r="D17" s="92" t="str">
        <f>IFERROR(INDEX('Product Catalog'!$D$7:$D$22,MATCH(B17,'Product Catalog'!$B$7:$B$22,0)),"")</f>
        <v>Textiles</v>
      </c>
      <c r="E17" s="92" t="inlineStr">
        <is>
          <t>Rotterdam, NL</t>
        </is>
      </c>
      <c r="F17" s="113" t="n">
        <v>1370</v>
      </c>
      <c r="G17" s="93">
        <f>SUMIFS('International Orders'!$J$8:$J$107,'International Orders'!$G$8:$G$107,$B17,'International Orders'!$P$8:$P$107,'International Orders'!$N$5)+SUMIFS('International Orders'!$J$8:$J$107,'International Orders'!$G$8:$G$107,$B17,'International Orders'!$P$8:$P$107,'International Orders'!$O$5)</f>
        <v>456</v>
      </c>
      <c r="H17" s="114">
        <f>F17-G17</f>
        <v>914</v>
      </c>
      <c r="I17" s="113" t="n">
        <v>240</v>
      </c>
      <c r="J17" s="93">
        <f>SUMIFS('International Orders'!$J$8:$J$107,'International Orders'!$G$8:$G$107,$B17,'International Orders'!$P$8:$P$107,"&lt;&gt;"&amp;'International Orders'!$P$5)/$R$6</f>
        <v>309.777777777778</v>
      </c>
      <c r="K17" s="113" t="n">
        <v>42</v>
      </c>
      <c r="L17" s="113" t="n">
        <v>14</v>
      </c>
      <c r="M17" s="93">
        <f>ROUND(J17/30*(K17+L17),0)</f>
        <v>578</v>
      </c>
      <c r="N17" s="93">
        <f>H17+I17</f>
        <v>1154</v>
      </c>
      <c r="O17" s="115">
        <f>IFERROR(N17/(J17/30),0)</f>
        <v>111.757532281205</v>
      </c>
      <c r="P17" s="113" t="n">
        <v>36</v>
      </c>
      <c r="Q17" s="116">
        <f>IF(OR(H17&lt;=0,N17&lt;=M17),ROUNDUP((M17+J17/30*$R$7-N17)/P17,0)*P17,0)</f>
        <v>0</v>
      </c>
      <c r="R17" s="117">
        <f>Q17*IFERROR(INDEX('Product Catalog'!$J$7:$J$22,MATCH(B17,'Product Catalog'!$B$7:$B$22,0)),0)</f>
        <v>0</v>
      </c>
      <c r="S17" s="80" t="str">
        <f>IF(H17&lt;=0,$S$11,IF(N17&lt;=M17,$R$11,IF(N17&lt;=M17*(1+$R$8),$Q$11,$P$11)))</f>
        <v>Healthy</v>
      </c>
      <c r="T17" s="76" t="inlineStr">
        <is>
          <t>Inbound shipment from Lancashire arrives 4 November.</t>
        </is>
      </c>
      <c r="V17" s="118" t="str">
        <f>B17</f>
        <v>LL-TXT-205</v>
      </c>
      <c r="W17" s="119">
        <f>MIN(O17,240)</f>
        <v>111.757532281205</v>
      </c>
      <c r="X17" s="119">
        <f>K17+L17</f>
        <v>56</v>
      </c>
    </row>
    <row r="18" ht="47.6" customHeight="1">
      <c r="B18" s="90" t="inlineStr">
        <is>
          <t>LL-TXT-210</t>
        </is>
      </c>
      <c r="C18" s="76" t="str">
        <f>IFERROR(INDEX('Product Catalog'!$C$7:$C$22,MATCH(B18,'Product Catalog'!$B$7:$B$22,0)),"")</f>
        <v>Marlow Hand-Loomed Cushion Cover</v>
      </c>
      <c r="D18" s="92" t="str">
        <f>IFERROR(INDEX('Product Catalog'!$D$7:$D$22,MATCH(B18,'Product Catalog'!$B$7:$B$22,0)),"")</f>
        <v>Textiles</v>
      </c>
      <c r="E18" s="92" t="inlineStr">
        <is>
          <t>Rotterdam, NL</t>
        </is>
      </c>
      <c r="F18" s="113" t="n">
        <v>1048</v>
      </c>
      <c r="G18" s="93">
        <f>SUMIFS('International Orders'!$J$8:$J$107,'International Orders'!$G$8:$G$107,$B18,'International Orders'!$P$8:$P$107,'International Orders'!$N$5)+SUMIFS('International Orders'!$J$8:$J$107,'International Orders'!$G$8:$G$107,$B18,'International Orders'!$P$8:$P$107,'International Orders'!$O$5)</f>
        <v>432</v>
      </c>
      <c r="H18" s="114">
        <f>F18-G18</f>
        <v>616</v>
      </c>
      <c r="I18" s="113" t="n">
        <v>0</v>
      </c>
      <c r="J18" s="93">
        <f>SUMIFS('International Orders'!$J$8:$J$107,'International Orders'!$G$8:$G$107,$B18,'International Orders'!$P$8:$P$107,"&lt;&gt;"&amp;'International Orders'!$P$5)/$R$6</f>
        <v>366.888888888889</v>
      </c>
      <c r="K18" s="113" t="n">
        <v>56</v>
      </c>
      <c r="L18" s="113" t="n">
        <v>14</v>
      </c>
      <c r="M18" s="93">
        <f>ROUND(J18/30*(K18+L18),0)</f>
        <v>856</v>
      </c>
      <c r="N18" s="93">
        <f>H18+I18</f>
        <v>616</v>
      </c>
      <c r="O18" s="115">
        <f>IFERROR(N18/(J18/30),0)</f>
        <v>50.3694730466384</v>
      </c>
      <c r="P18" s="113" t="n">
        <v>120</v>
      </c>
      <c r="Q18" s="116">
        <f>IF(OR(H18&lt;=0,N18&lt;=M18),ROUNDUP((M18+J18/30*$R$7-N18)/P18,0)*P18,0)</f>
        <v>1080</v>
      </c>
      <c r="R18" s="117">
        <f>Q18*IFERROR(INDEX('Product Catalog'!$J$7:$J$22,MATCH(B18,'Product Catalog'!$B$7:$B$22,0)),0)</f>
        <v>14040</v>
      </c>
      <c r="S18" s="80" t="str">
        <f>IF(H18&lt;=0,$S$11,IF(N18&lt;=M18,$R$11,IF(N18&lt;=M18*(1+$R$8),$Q$11,$P$11)))</f>
        <v>Reorder now</v>
      </c>
      <c r="T18" s="76" t="inlineStr">
        <is>
          <t>The cooperative needs eight weeks of notice; confirm colourway split (Sand 60%, Moss 40%).</t>
        </is>
      </c>
      <c r="V18" s="118" t="str">
        <f>B18</f>
        <v>LL-TXT-210</v>
      </c>
      <c r="W18" s="119">
        <f>MIN(O18,240)</f>
        <v>50.3694730466384</v>
      </c>
      <c r="X18" s="119">
        <f>K18+L18</f>
        <v>70</v>
      </c>
    </row>
    <row r="19" ht="34.4" customHeight="1">
      <c r="B19" s="90" t="inlineStr">
        <is>
          <t>LL-TXT-214</t>
        </is>
      </c>
      <c r="C19" s="76" t="str">
        <f>IFERROR(INDEX('Product Catalog'!$C$7:$C$22,MATCH(B19,'Product Catalog'!$B$7:$B$22,0)),"")</f>
        <v>Kesa Organic Cotton Towel Set</v>
      </c>
      <c r="D19" s="92" t="str">
        <f>IFERROR(INDEX('Product Catalog'!$D$7:$D$22,MATCH(B19,'Product Catalog'!$B$7:$B$22,0)),"")</f>
        <v>Textiles</v>
      </c>
      <c r="E19" s="92" t="inlineStr">
        <is>
          <t>Rotterdam, NL</t>
        </is>
      </c>
      <c r="F19" s="113" t="n">
        <v>737</v>
      </c>
      <c r="G19" s="93">
        <f>SUMIFS('International Orders'!$J$8:$J$107,'International Orders'!$G$8:$G$107,$B19,'International Orders'!$P$8:$P$107,'International Orders'!$N$5)+SUMIFS('International Orders'!$J$8:$J$107,'International Orders'!$G$8:$G$107,$B19,'International Orders'!$P$8:$P$107,'International Orders'!$O$5)</f>
        <v>192</v>
      </c>
      <c r="H19" s="114">
        <f>F19-G19</f>
        <v>545</v>
      </c>
      <c r="I19" s="113" t="n">
        <v>0</v>
      </c>
      <c r="J19" s="93">
        <f>SUMIFS('International Orders'!$J$8:$J$107,'International Orders'!$G$8:$G$107,$B19,'International Orders'!$P$8:$P$107,"&lt;&gt;"&amp;'International Orders'!$P$5)/$R$6</f>
        <v>172.666666666667</v>
      </c>
      <c r="K19" s="113" t="n">
        <v>45</v>
      </c>
      <c r="L19" s="113" t="n">
        <v>14</v>
      </c>
      <c r="M19" s="93">
        <f>ROUND(J19/30*(K19+L19),0)</f>
        <v>340</v>
      </c>
      <c r="N19" s="93">
        <f>H19+I19</f>
        <v>545</v>
      </c>
      <c r="O19" s="115">
        <f>IFERROR(N19/(J19/30),0)</f>
        <v>94.6911196911197</v>
      </c>
      <c r="P19" s="113" t="n">
        <v>60</v>
      </c>
      <c r="Q19" s="116">
        <f>IF(OR(H19&lt;=0,N19&lt;=M19),ROUNDUP((M19+J19/30*$R$7-N19)/P19,0)*P19,0)</f>
        <v>0</v>
      </c>
      <c r="R19" s="117">
        <f>Q19*IFERROR(INDEX('Product Catalog'!$J$7:$J$22,MATCH(B19,'Product Catalog'!$B$7:$B$22,0)),0)</f>
        <v>0</v>
      </c>
      <c r="S19" s="80" t="str">
        <f>IF(H19&lt;=0,$S$11,IF(N19&lt;=M19,$R$11,IF(N19&lt;=M19*(1+$R$8),$Q$11,$P$11)))</f>
        <v>Healthy</v>
      </c>
      <c r="T19" s="76" t="inlineStr">
        <is>
          <t>Healthy cover. Hospitality orders are typically placed in January.</t>
        </is>
      </c>
      <c r="V19" s="118" t="str">
        <f>B19</f>
        <v>LL-TXT-214</v>
      </c>
      <c r="W19" s="119">
        <f>MIN(O19,240)</f>
        <v>94.6911196911197</v>
      </c>
      <c r="X19" s="119">
        <f>K19+L19</f>
        <v>59</v>
      </c>
    </row>
    <row r="20" ht="60.8" customHeight="1">
      <c r="B20" s="90" t="inlineStr">
        <is>
          <t>LL-FUR-301</t>
        </is>
      </c>
      <c r="C20" s="76" t="str">
        <f>IFERROR(INDEX('Product Catalog'!$C$7:$C$22,MATCH(B20,'Product Catalog'!$B$7:$B$22,0)),"")</f>
        <v>Tove Solid Oak Dining Chair</v>
      </c>
      <c r="D20" s="92" t="str">
        <f>IFERROR(INDEX('Product Catalog'!$D$7:$D$22,MATCH(B20,'Product Catalog'!$B$7:$B$22,0)),"")</f>
        <v>Furniture</v>
      </c>
      <c r="E20" s="92" t="inlineStr">
        <is>
          <t>Rotterdam, NL</t>
        </is>
      </c>
      <c r="F20" s="113" t="n">
        <v>115</v>
      </c>
      <c r="G20" s="93">
        <f>SUMIFS('International Orders'!$J$8:$J$107,'International Orders'!$G$8:$G$107,$B20,'International Orders'!$P$8:$P$107,'International Orders'!$N$5)+SUMIFS('International Orders'!$J$8:$J$107,'International Orders'!$G$8:$G$107,$B20,'International Orders'!$P$8:$P$107,'International Orders'!$O$5)</f>
        <v>192</v>
      </c>
      <c r="H20" s="114">
        <f>F20-G20</f>
        <v>-77</v>
      </c>
      <c r="I20" s="113" t="n">
        <v>48</v>
      </c>
      <c r="J20" s="93">
        <f>SUMIFS('International Orders'!$J$8:$J$107,'International Orders'!$G$8:$G$107,$B20,'International Orders'!$P$8:$P$107,"&lt;&gt;"&amp;'International Orders'!$P$5)/$R$6</f>
        <v>69.1111111111111</v>
      </c>
      <c r="K20" s="113" t="n">
        <v>84</v>
      </c>
      <c r="L20" s="113" t="n">
        <v>21</v>
      </c>
      <c r="M20" s="93">
        <f>ROUND(J20/30*(K20+L20),0)</f>
        <v>242</v>
      </c>
      <c r="N20" s="93">
        <f>H20+I20</f>
        <v>-29</v>
      </c>
      <c r="O20" s="115">
        <f>IFERROR(N20/(J20/30),0)</f>
        <v>-12.588424437299</v>
      </c>
      <c r="P20" s="113" t="n">
        <v>8</v>
      </c>
      <c r="Q20" s="116">
        <f>IF(OR(H20&lt;=0,N20&lt;=M20),ROUNDUP((M20+J20/30*$R$7-N20)/P20,0)*P20,0)</f>
        <v>416</v>
      </c>
      <c r="R20" s="117">
        <f>Q20*IFERROR(INDEX('Product Catalog'!$J$7:$J$22,MATCH(B20,'Product Catalog'!$B$7:$B$22,0)),0)</f>
        <v>43264</v>
      </c>
      <c r="S20" s="80" t="str">
        <f>IF(H20&lt;=0,$S$11,IF(N20&lt;=M20,$R$11,IF(N20&lt;=M20*(1+$R$8),$Q$11,$P$11)))</f>
        <v>Stockout risk</v>
      </c>
      <c r="T20" s="76" t="inlineStr">
        <is>
          <t>Open contract orders exceed stock on hand. Allocate inbound units to Hotel Seeblick first and confirm revised dates with Sales.</t>
        </is>
      </c>
      <c r="V20" s="118" t="str">
        <f>B20</f>
        <v>LL-FUR-301</v>
      </c>
      <c r="W20" s="119">
        <f>MIN(O20,240)</f>
        <v>-12.588424437299</v>
      </c>
      <c r="X20" s="119">
        <f>K20+L20</f>
        <v>105</v>
      </c>
    </row>
    <row r="21" ht="47.6" customHeight="1">
      <c r="B21" s="90" t="inlineStr">
        <is>
          <t>LL-FUR-305</t>
        </is>
      </c>
      <c r="C21" s="76" t="str">
        <f>IFERROR(INDEX('Product Catalog'!$C$7:$C$22,MATCH(B21,'Product Catalog'!$B$7:$B$22,0)),"")</f>
        <v>Brenna Extendable Oak Dining Table</v>
      </c>
      <c r="D21" s="92" t="str">
        <f>IFERROR(INDEX('Product Catalog'!$D$7:$D$22,MATCH(B21,'Product Catalog'!$B$7:$B$22,0)),"")</f>
        <v>Furniture</v>
      </c>
      <c r="E21" s="92" t="inlineStr">
        <is>
          <t>Rotterdam, NL</t>
        </is>
      </c>
      <c r="F21" s="113" t="n">
        <v>30</v>
      </c>
      <c r="G21" s="93">
        <f>SUMIFS('International Orders'!$J$8:$J$107,'International Orders'!$G$8:$G$107,$B21,'International Orders'!$P$8:$P$107,'International Orders'!$N$5)+SUMIFS('International Orders'!$J$8:$J$107,'International Orders'!$G$8:$G$107,$B21,'International Orders'!$P$8:$P$107,'International Orders'!$O$5)</f>
        <v>0</v>
      </c>
      <c r="H21" s="114">
        <f>F21-G21</f>
        <v>30</v>
      </c>
      <c r="I21" s="113" t="n">
        <v>0</v>
      </c>
      <c r="J21" s="93">
        <f>SUMIFS('International Orders'!$J$8:$J$107,'International Orders'!$G$8:$G$107,$B21,'International Orders'!$P$8:$P$107,"&lt;&gt;"&amp;'International Orders'!$P$5)/$R$6</f>
        <v>6.22222222222222</v>
      </c>
      <c r="K21" s="113" t="n">
        <v>98</v>
      </c>
      <c r="L21" s="113" t="n">
        <v>28</v>
      </c>
      <c r="M21" s="93">
        <f>ROUND(J21/30*(K21+L21),0)</f>
        <v>26</v>
      </c>
      <c r="N21" s="93">
        <f>H21+I21</f>
        <v>30</v>
      </c>
      <c r="O21" s="115">
        <f>IFERROR(N21/(J21/30),0)</f>
        <v>144.642857142857</v>
      </c>
      <c r="P21" s="113" t="n">
        <v>4</v>
      </c>
      <c r="Q21" s="116">
        <f>IF(OR(H21&lt;=0,N21&lt;=M21),ROUNDUP((M21+J21/30*$R$7-N21)/P21,0)*P21,0)</f>
        <v>0</v>
      </c>
      <c r="R21" s="117">
        <f>Q21*IFERROR(INDEX('Product Catalog'!$J$7:$J$22,MATCH(B21,'Product Catalog'!$B$7:$B$22,0)),0)</f>
        <v>0</v>
      </c>
      <c r="S21" s="80" t="str">
        <f>IF(H21&lt;=0,$S$11,IF(N21&lt;=M21,$R$11,IF(N21&lt;=M21*(1+$R$8),$Q$11,$P$11)))</f>
        <v>Watch</v>
      </c>
      <c r="T21" s="76" t="inlineStr">
        <is>
          <t>Long lead time (98 days). Consider a smaller top-up order to protect January demand.</t>
        </is>
      </c>
      <c r="V21" s="118" t="str">
        <f>B21</f>
        <v>LL-FUR-305</v>
      </c>
      <c r="W21" s="119">
        <f>MIN(O21,240)</f>
        <v>144.642857142857</v>
      </c>
      <c r="X21" s="119">
        <f>K21+L21</f>
        <v>126</v>
      </c>
    </row>
    <row r="22" ht="34.4" customHeight="1">
      <c r="B22" s="90" t="inlineStr">
        <is>
          <t>LL-FUR-309</t>
        </is>
      </c>
      <c r="C22" s="76" t="str">
        <f>IFERROR(INDEX('Product Catalog'!$C$7:$C$22,MATCH(B22,'Product Catalog'!$B$7:$B$22,0)),"")</f>
        <v>Otto Rattan Lounge Chair</v>
      </c>
      <c r="D22" s="92" t="str">
        <f>IFERROR(INDEX('Product Catalog'!$D$7:$D$22,MATCH(B22,'Product Catalog'!$B$7:$B$22,0)),"")</f>
        <v>Furniture</v>
      </c>
      <c r="E22" s="92" t="inlineStr">
        <is>
          <t>Newark, US</t>
        </is>
      </c>
      <c r="F22" s="113" t="n">
        <v>296</v>
      </c>
      <c r="G22" s="93">
        <f>SUMIFS('International Orders'!$J$8:$J$107,'International Orders'!$G$8:$G$107,$B22,'International Orders'!$P$8:$P$107,'International Orders'!$N$5)+SUMIFS('International Orders'!$J$8:$J$107,'International Orders'!$G$8:$G$107,$B22,'International Orders'!$P$8:$P$107,'International Orders'!$O$5)</f>
        <v>44</v>
      </c>
      <c r="H22" s="114">
        <f>F22-G22</f>
        <v>252</v>
      </c>
      <c r="I22" s="113" t="n">
        <v>0</v>
      </c>
      <c r="J22" s="93">
        <f>SUMIFS('International Orders'!$J$8:$J$107,'International Orders'!$G$8:$G$107,$B22,'International Orders'!$P$8:$P$107,"&lt;&gt;"&amp;'International Orders'!$P$5)/$R$6</f>
        <v>40.4444444444444</v>
      </c>
      <c r="K22" s="113" t="n">
        <v>91</v>
      </c>
      <c r="L22" s="113" t="n">
        <v>21</v>
      </c>
      <c r="M22" s="93">
        <f>ROUND(J22/30*(K22+L22),0)</f>
        <v>151</v>
      </c>
      <c r="N22" s="93">
        <f>H22+I22</f>
        <v>252</v>
      </c>
      <c r="O22" s="115">
        <f>IFERROR(N22/(J22/30),0)</f>
        <v>186.923076923077</v>
      </c>
      <c r="P22" s="113" t="n">
        <v>6</v>
      </c>
      <c r="Q22" s="116">
        <f>IF(OR(H22&lt;=0,N22&lt;=M22),ROUNDUP((M22+J22/30*$R$7-N22)/P22,0)*P22,0)</f>
        <v>0</v>
      </c>
      <c r="R22" s="117">
        <f>Q22*IFERROR(INDEX('Product Catalog'!$J$7:$J$22,MATCH(B22,'Product Catalog'!$B$7:$B$22,0)),0)</f>
        <v>0</v>
      </c>
      <c r="S22" s="80" t="str">
        <f>IF(H22&lt;=0,$S$11,IF(N22&lt;=M22,$R$11,IF(N22&lt;=M22*(1+$R$8),$Q$11,$P$11)))</f>
        <v>Healthy</v>
      </c>
      <c r="T22" s="76" t="inlineStr">
        <is>
          <t>Introduced in Q2; demand still building in the US and Australia.</t>
        </is>
      </c>
      <c r="V22" s="118" t="str">
        <f>B22</f>
        <v>LL-FUR-309</v>
      </c>
      <c r="W22" s="119">
        <f>MIN(O22,240)</f>
        <v>186.923076923077</v>
      </c>
      <c r="X22" s="119">
        <f>K22+L22</f>
        <v>112</v>
      </c>
    </row>
    <row r="23" ht="21.2" customHeight="1">
      <c r="B23" s="90" t="inlineStr">
        <is>
          <t>LL-FUR-316</t>
        </is>
      </c>
      <c r="C23" s="76" t="str">
        <f>IFERROR(INDEX('Product Catalog'!$C$7:$C$22,MATCH(B23,'Product Catalog'!$B$7:$B$22,0)),"")</f>
        <v>Liss Walnut Side Table</v>
      </c>
      <c r="D23" s="92" t="str">
        <f>IFERROR(INDEX('Product Catalog'!$D$7:$D$22,MATCH(B23,'Product Catalog'!$B$7:$B$22,0)),"")</f>
        <v>Furniture</v>
      </c>
      <c r="E23" s="92" t="inlineStr">
        <is>
          <t>Newark, US</t>
        </is>
      </c>
      <c r="F23" s="113" t="n">
        <v>297</v>
      </c>
      <c r="G23" s="93">
        <f>SUMIFS('International Orders'!$J$8:$J$107,'International Orders'!$G$8:$G$107,$B23,'International Orders'!$P$8:$P$107,'International Orders'!$N$5)+SUMIFS('International Orders'!$J$8:$J$107,'International Orders'!$G$8:$G$107,$B23,'International Orders'!$P$8:$P$107,'International Orders'!$O$5)</f>
        <v>36</v>
      </c>
      <c r="H23" s="114">
        <f>F23-G23</f>
        <v>261</v>
      </c>
      <c r="I23" s="113" t="n">
        <v>0</v>
      </c>
      <c r="J23" s="93">
        <f>SUMIFS('International Orders'!$J$8:$J$107,'International Orders'!$G$8:$G$107,$B23,'International Orders'!$P$8:$P$107,"&lt;&gt;"&amp;'International Orders'!$P$5)/$R$6</f>
        <v>48</v>
      </c>
      <c r="K23" s="113" t="n">
        <v>77</v>
      </c>
      <c r="L23" s="113" t="n">
        <v>21</v>
      </c>
      <c r="M23" s="93">
        <f>ROUND(J23/30*(K23+L23),0)</f>
        <v>157</v>
      </c>
      <c r="N23" s="93">
        <f>H23+I23</f>
        <v>261</v>
      </c>
      <c r="O23" s="115">
        <f>IFERROR(N23/(J23/30),0)</f>
        <v>163.125</v>
      </c>
      <c r="P23" s="113" t="n">
        <v>8</v>
      </c>
      <c r="Q23" s="116">
        <f>IF(OR(H23&lt;=0,N23&lt;=M23),ROUNDUP((M23+J23/30*$R$7-N23)/P23,0)*P23,0)</f>
        <v>0</v>
      </c>
      <c r="R23" s="117">
        <f>Q23*IFERROR(INDEX('Product Catalog'!$J$7:$J$22,MATCH(B23,'Product Catalog'!$B$7:$B$22,0)),0)</f>
        <v>0</v>
      </c>
      <c r="S23" s="80" t="str">
        <f>IF(H23&lt;=0,$S$11,IF(N23&lt;=M23,$R$11,IF(N23&lt;=M23*(1+$R$8),$Q$11,$P$11)))</f>
        <v>Healthy</v>
      </c>
      <c r="T23" s="76" t="inlineStr">
        <is>
          <t>No action required.</t>
        </is>
      </c>
      <c r="V23" s="118" t="str">
        <f>B23</f>
        <v>LL-FUR-316</v>
      </c>
      <c r="W23" s="119">
        <f>MIN(O23,240)</f>
        <v>163.125</v>
      </c>
      <c r="X23" s="119">
        <f>K23+L23</f>
        <v>98</v>
      </c>
    </row>
    <row r="24" ht="34.4" customHeight="1">
      <c r="B24" s="90" t="inlineStr">
        <is>
          <t>LL-KIT-401</t>
        </is>
      </c>
      <c r="C24" s="76" t="str">
        <f>IFERROR(INDEX('Product Catalog'!$C$7:$C$22,MATCH(B24,'Product Catalog'!$B$7:$B$22,0)),"")</f>
        <v>Hollis Stoneware Dinner Set</v>
      </c>
      <c r="D24" s="92" t="str">
        <f>IFERROR(INDEX('Product Catalog'!$D$7:$D$22,MATCH(B24,'Product Catalog'!$B$7:$B$22,0)),"")</f>
        <v>Kitchen &amp; Dining</v>
      </c>
      <c r="E24" s="92" t="inlineStr">
        <is>
          <t>Rotterdam, NL</t>
        </is>
      </c>
      <c r="F24" s="113" t="n">
        <v>39</v>
      </c>
      <c r="G24" s="93">
        <f>SUMIFS('International Orders'!$J$8:$J$107,'International Orders'!$G$8:$G$107,$B24,'International Orders'!$P$8:$P$107,'International Orders'!$N$5)+SUMIFS('International Orders'!$J$8:$J$107,'International Orders'!$G$8:$G$107,$B24,'International Orders'!$P$8:$P$107,'International Orders'!$O$5)</f>
        <v>0</v>
      </c>
      <c r="H24" s="114">
        <f>F24-G24</f>
        <v>39</v>
      </c>
      <c r="I24" s="113" t="n">
        <v>0</v>
      </c>
      <c r="J24" s="93">
        <f>SUMIFS('International Orders'!$J$8:$J$107,'International Orders'!$G$8:$G$107,$B24,'International Orders'!$P$8:$P$107,"&lt;&gt;"&amp;'International Orders'!$P$5)/$R$6</f>
        <v>23.3333333333333</v>
      </c>
      <c r="K24" s="113" t="n">
        <v>56</v>
      </c>
      <c r="L24" s="113" t="n">
        <v>14</v>
      </c>
      <c r="M24" s="93">
        <f>ROUND(J24/30*(K24+L24),0)</f>
        <v>54</v>
      </c>
      <c r="N24" s="93">
        <f>H24+I24</f>
        <v>39</v>
      </c>
      <c r="O24" s="115">
        <f>IFERROR(N24/(J24/30),0)</f>
        <v>50.1428571428571</v>
      </c>
      <c r="P24" s="113" t="n">
        <v>30</v>
      </c>
      <c r="Q24" s="116">
        <f>IF(OR(H24&lt;=0,N24&lt;=M24),ROUNDUP((M24+J24/30*$R$7-N24)/P24,0)*P24,0)</f>
        <v>90</v>
      </c>
      <c r="R24" s="117">
        <f>Q24*IFERROR(INDEX('Product Catalog'!$J$7:$J$22,MATCH(B24,'Product Catalog'!$B$7:$B$22,0)),0)</f>
        <v>5220</v>
      </c>
      <c r="S24" s="80" t="str">
        <f>IF(H24&lt;=0,$S$11,IF(N24&lt;=M24,$R$11,IF(N24&lt;=M24*(1+$R$8),$Q$11,$P$11)))</f>
        <v>Reorder now</v>
      </c>
      <c r="T24" s="76" t="inlineStr">
        <is>
          <t>Stoneware kiln capacity is tight in December; place the order before 6 November.</t>
        </is>
      </c>
      <c r="V24" s="118" t="str">
        <f>B24</f>
        <v>LL-KIT-401</v>
      </c>
      <c r="W24" s="119">
        <f>MIN(O24,240)</f>
        <v>50.1428571428571</v>
      </c>
      <c r="X24" s="119">
        <f>K24+L24</f>
        <v>70</v>
      </c>
    </row>
    <row r="25" ht="34.4" customHeight="1">
      <c r="B25" s="90" t="inlineStr">
        <is>
          <t>LL-KIT-406</t>
        </is>
      </c>
      <c r="C25" s="76" t="str">
        <f>IFERROR(INDEX('Product Catalog'!$C$7:$C$22,MATCH(B25,'Product Catalog'!$B$7:$B$22,0)),"")</f>
        <v>Aska Enamelled Cast Iron Casserole</v>
      </c>
      <c r="D25" s="92" t="str">
        <f>IFERROR(INDEX('Product Catalog'!$D$7:$D$22,MATCH(B25,'Product Catalog'!$B$7:$B$22,0)),"")</f>
        <v>Kitchen &amp; Dining</v>
      </c>
      <c r="E25" s="92" t="inlineStr">
        <is>
          <t>Rotterdam, NL</t>
        </is>
      </c>
      <c r="F25" s="113" t="n">
        <v>556</v>
      </c>
      <c r="G25" s="93">
        <f>SUMIFS('International Orders'!$J$8:$J$107,'International Orders'!$G$8:$G$107,$B25,'International Orders'!$P$8:$P$107,'International Orders'!$N$5)+SUMIFS('International Orders'!$J$8:$J$107,'International Orders'!$G$8:$G$107,$B25,'International Orders'!$P$8:$P$107,'International Orders'!$O$5)</f>
        <v>144</v>
      </c>
      <c r="H25" s="114">
        <f>F25-G25</f>
        <v>412</v>
      </c>
      <c r="I25" s="113" t="n">
        <v>120</v>
      </c>
      <c r="J25" s="93">
        <f>SUMIFS('International Orders'!$J$8:$J$107,'International Orders'!$G$8:$G$107,$B25,'International Orders'!$P$8:$P$107,"&lt;&gt;"&amp;'International Orders'!$P$5)/$R$6</f>
        <v>99.1111111111111</v>
      </c>
      <c r="K25" s="113" t="n">
        <v>63</v>
      </c>
      <c r="L25" s="113" t="n">
        <v>14</v>
      </c>
      <c r="M25" s="93">
        <f>ROUND(J25/30*(K25+L25),0)</f>
        <v>254</v>
      </c>
      <c r="N25" s="93">
        <f>H25+I25</f>
        <v>532</v>
      </c>
      <c r="O25" s="115">
        <f>IFERROR(N25/(J25/30),0)</f>
        <v>161.031390134529</v>
      </c>
      <c r="P25" s="113" t="n">
        <v>24</v>
      </c>
      <c r="Q25" s="116">
        <f>IF(OR(H25&lt;=0,N25&lt;=M25),ROUNDUP((M25+J25/30*$R$7-N25)/P25,0)*P25,0)</f>
        <v>0</v>
      </c>
      <c r="R25" s="117">
        <f>Q25*IFERROR(INDEX('Product Catalog'!$J$7:$J$22,MATCH(B25,'Product Catalog'!$B$7:$B$22,0)),0)</f>
        <v>0</v>
      </c>
      <c r="S25" s="80" t="str">
        <f>IF(H25&lt;=0,$S$11,IF(N25&lt;=M25,$R$11,IF(N25&lt;=M25*(1+$R$8),$Q$11,$P$11)))</f>
        <v>Healthy</v>
      </c>
      <c r="T25" s="76" t="inlineStr">
        <is>
          <t>Covered until February. Supplier price increase of 4% takes effect on 1 January.</t>
        </is>
      </c>
      <c r="V25" s="118" t="str">
        <f>B25</f>
        <v>LL-KIT-406</v>
      </c>
      <c r="W25" s="119">
        <f>MIN(O25,240)</f>
        <v>161.031390134529</v>
      </c>
      <c r="X25" s="119">
        <f>K25+L25</f>
        <v>77</v>
      </c>
    </row>
    <row r="26" ht="21.2" customHeight="1">
      <c r="B26" s="90" t="inlineStr">
        <is>
          <t>LL-KIT-410</t>
        </is>
      </c>
      <c r="C26" s="76" t="str">
        <f>IFERROR(INDEX('Product Catalog'!$C$7:$C$22,MATCH(B26,'Product Catalog'!$B$7:$B$22,0)),"")</f>
        <v>Rune Acacia Serving Board</v>
      </c>
      <c r="D26" s="92" t="str">
        <f>IFERROR(INDEX('Product Catalog'!$D$7:$D$22,MATCH(B26,'Product Catalog'!$B$7:$B$22,0)),"")</f>
        <v>Kitchen &amp; Dining</v>
      </c>
      <c r="E26" s="92" t="inlineStr">
        <is>
          <t>Rotterdam, NL</t>
        </is>
      </c>
      <c r="F26" s="113" t="n">
        <v>1374</v>
      </c>
      <c r="G26" s="93">
        <f>SUMIFS('International Orders'!$J$8:$J$107,'International Orders'!$G$8:$G$107,$B26,'International Orders'!$P$8:$P$107,'International Orders'!$N$5)+SUMIFS('International Orders'!$J$8:$J$107,'International Orders'!$G$8:$G$107,$B26,'International Orders'!$P$8:$P$107,'International Orders'!$O$5)</f>
        <v>0</v>
      </c>
      <c r="H26" s="114">
        <f>F26-G26</f>
        <v>1374</v>
      </c>
      <c r="I26" s="113" t="n">
        <v>0</v>
      </c>
      <c r="J26" s="93">
        <f>SUMIFS('International Orders'!$J$8:$J$107,'International Orders'!$G$8:$G$107,$B26,'International Orders'!$P$8:$P$107,"&lt;&gt;"&amp;'International Orders'!$P$5)/$R$6</f>
        <v>536</v>
      </c>
      <c r="K26" s="113" t="n">
        <v>35</v>
      </c>
      <c r="L26" s="113" t="n">
        <v>14</v>
      </c>
      <c r="M26" s="93">
        <f>ROUND(J26/30*(K26+L26),0)</f>
        <v>875</v>
      </c>
      <c r="N26" s="93">
        <f>H26+I26</f>
        <v>1374</v>
      </c>
      <c r="O26" s="115">
        <f>IFERROR(N26/(J26/30),0)</f>
        <v>76.9029850746269</v>
      </c>
      <c r="P26" s="113" t="n">
        <v>60</v>
      </c>
      <c r="Q26" s="116">
        <f>IF(OR(H26&lt;=0,N26&lt;=M26),ROUNDUP((M26+J26/30*$R$7-N26)/P26,0)*P26,0)</f>
        <v>0</v>
      </c>
      <c r="R26" s="117">
        <f>Q26*IFERROR(INDEX('Product Catalog'!$J$7:$J$22,MATCH(B26,'Product Catalog'!$B$7:$B$22,0)),0)</f>
        <v>0</v>
      </c>
      <c r="S26" s="80" t="str">
        <f>IF(H26&lt;=0,$S$11,IF(N26&lt;=M26,$R$11,IF(N26&lt;=M26*(1+$R$8),$Q$11,$P$11)))</f>
        <v>Healthy</v>
      </c>
      <c r="T26" s="76" t="inlineStr">
        <is>
          <t>No action required.</t>
        </is>
      </c>
      <c r="V26" s="118" t="str">
        <f>B26</f>
        <v>LL-KIT-410</v>
      </c>
      <c r="W26" s="119">
        <f>MIN(O26,240)</f>
        <v>76.9029850746269</v>
      </c>
      <c r="X26" s="119">
        <f>K26+L26</f>
        <v>49</v>
      </c>
    </row>
    <row r="27" ht="34.4" customHeight="1">
      <c r="B27" s="90" t="inlineStr">
        <is>
          <t>LL-DEC-501</t>
        </is>
      </c>
      <c r="C27" s="76" t="str">
        <f>IFERROR(INDEX('Product Catalog'!$C$7:$C$22,MATCH(B27,'Product Catalog'!$B$7:$B$22,0)),"")</f>
        <v>Lumi Recycled Glass Vase</v>
      </c>
      <c r="D27" s="92" t="str">
        <f>IFERROR(INDEX('Product Catalog'!$D$7:$D$22,MATCH(B27,'Product Catalog'!$B$7:$B$22,0)),"")</f>
        <v>Decor &amp; Rugs</v>
      </c>
      <c r="E27" s="92" t="inlineStr">
        <is>
          <t>Rotterdam, NL</t>
        </is>
      </c>
      <c r="F27" s="113" t="n">
        <v>753</v>
      </c>
      <c r="G27" s="93">
        <f>SUMIFS('International Orders'!$J$8:$J$107,'International Orders'!$G$8:$G$107,$B27,'International Orders'!$P$8:$P$107,'International Orders'!$N$5)+SUMIFS('International Orders'!$J$8:$J$107,'International Orders'!$G$8:$G$107,$B27,'International Orders'!$P$8:$P$107,'International Orders'!$O$5)</f>
        <v>0</v>
      </c>
      <c r="H27" s="114">
        <f>F27-G27</f>
        <v>753</v>
      </c>
      <c r="I27" s="113" t="n">
        <v>0</v>
      </c>
      <c r="J27" s="93">
        <f>SUMIFS('International Orders'!$J$8:$J$107,'International Orders'!$G$8:$G$107,$B27,'International Orders'!$P$8:$P$107,"&lt;&gt;"&amp;'International Orders'!$P$5)/$R$6</f>
        <v>359.555555555556</v>
      </c>
      <c r="K27" s="113" t="n">
        <v>42</v>
      </c>
      <c r="L27" s="113" t="n">
        <v>14</v>
      </c>
      <c r="M27" s="93">
        <f>ROUND(J27/30*(K27+L27),0)</f>
        <v>671</v>
      </c>
      <c r="N27" s="93">
        <f>H27+I27</f>
        <v>753</v>
      </c>
      <c r="O27" s="115">
        <f>IFERROR(N27/(J27/30),0)</f>
        <v>62.827564894932</v>
      </c>
      <c r="P27" s="113" t="n">
        <v>48</v>
      </c>
      <c r="Q27" s="116">
        <f>IF(OR(H27&lt;=0,N27&lt;=M27),ROUNDUP((M27+J27/30*$R$7-N27)/P27,0)*P27,0)</f>
        <v>0</v>
      </c>
      <c r="R27" s="117">
        <f>Q27*IFERROR(INDEX('Product Catalog'!$J$7:$J$22,MATCH(B27,'Product Catalog'!$B$7:$B$22,0)),0)</f>
        <v>0</v>
      </c>
      <c r="S27" s="80" t="str">
        <f>IF(H27&lt;=0,$S$11,IF(N27&lt;=M27,$R$11,IF(N27&lt;=M27*(1+$R$8),$Q$11,$P$11)))</f>
        <v>Watch</v>
      </c>
      <c r="T27" s="76" t="inlineStr">
        <is>
          <t>Seasonal item; reorder only if Q4 sell-through exceeds 70%.</t>
        </is>
      </c>
      <c r="V27" s="118" t="str">
        <f>B27</f>
        <v>LL-DEC-501</v>
      </c>
      <c r="W27" s="119">
        <f>MIN(O27,240)</f>
        <v>62.827564894932</v>
      </c>
      <c r="X27" s="119">
        <f>K27+L27</f>
        <v>56</v>
      </c>
    </row>
    <row r="28" ht="34.4" customHeight="1">
      <c r="B28" s="90" t="inlineStr">
        <is>
          <t>LL-DEC-507</t>
        </is>
      </c>
      <c r="C28" s="76" t="str">
        <f>IFERROR(INDEX('Product Catalog'!$C$7:$C$22,MATCH(B28,'Product Catalog'!$B$7:$B$22,0)),"")</f>
        <v>Tarn Wool Area Rug</v>
      </c>
      <c r="D28" s="92" t="str">
        <f>IFERROR(INDEX('Product Catalog'!$D$7:$D$22,MATCH(B28,'Product Catalog'!$B$7:$B$22,0)),"")</f>
        <v>Decor &amp; Rugs</v>
      </c>
      <c r="E28" s="92" t="inlineStr">
        <is>
          <t>Rotterdam, NL</t>
        </is>
      </c>
      <c r="F28" s="113" t="n">
        <v>257</v>
      </c>
      <c r="G28" s="93">
        <f>SUMIFS('International Orders'!$J$8:$J$107,'International Orders'!$G$8:$G$107,$B28,'International Orders'!$P$8:$P$107,'International Orders'!$N$5)+SUMIFS('International Orders'!$J$8:$J$107,'International Orders'!$G$8:$G$107,$B28,'International Orders'!$P$8:$P$107,'International Orders'!$O$5)</f>
        <v>0</v>
      </c>
      <c r="H28" s="114">
        <f>F28-G28</f>
        <v>257</v>
      </c>
      <c r="I28" s="113" t="n">
        <v>0</v>
      </c>
      <c r="J28" s="93">
        <f>SUMIFS('International Orders'!$J$8:$J$107,'International Orders'!$G$8:$G$107,$B28,'International Orders'!$P$8:$P$107,"&lt;&gt;"&amp;'International Orders'!$P$5)/$R$6</f>
        <v>47.1111111111111</v>
      </c>
      <c r="K28" s="113" t="n">
        <v>77</v>
      </c>
      <c r="L28" s="113" t="n">
        <v>21</v>
      </c>
      <c r="M28" s="93">
        <f>ROUND(J28/30*(K28+L28),0)</f>
        <v>154</v>
      </c>
      <c r="N28" s="93">
        <f>H28+I28</f>
        <v>257</v>
      </c>
      <c r="O28" s="115">
        <f>IFERROR(N28/(J28/30),0)</f>
        <v>163.655660377359</v>
      </c>
      <c r="P28" s="113" t="n">
        <v>10</v>
      </c>
      <c r="Q28" s="116">
        <f>IF(OR(H28&lt;=0,N28&lt;=M28),ROUNDUP((M28+J28/30*$R$7-N28)/P28,0)*P28,0)</f>
        <v>0</v>
      </c>
      <c r="R28" s="117">
        <f>Q28*IFERROR(INDEX('Product Catalog'!$J$7:$J$22,MATCH(B28,'Product Catalog'!$B$7:$B$22,0)),0)</f>
        <v>0</v>
      </c>
      <c r="S28" s="80" t="str">
        <f>IF(H28&lt;=0,$S$11,IF(N28&lt;=M28,$R$11,IF(N28&lt;=M28*(1+$R$8),$Q$11,$P$11)))</f>
        <v>Healthy</v>
      </c>
      <c r="T28" s="76" t="inlineStr">
        <is>
          <t>Rug stock is balanced. GoodWeave certificates have been renewed until 2028.</t>
        </is>
      </c>
      <c r="V28" s="118" t="str">
        <f>B28</f>
        <v>LL-DEC-507</v>
      </c>
      <c r="W28" s="119">
        <f>MIN(O28,240)</f>
        <v>163.655660377359</v>
      </c>
      <c r="X28" s="119">
        <f>K28+L28</f>
        <v>98</v>
      </c>
    </row>
    <row r="29" ht="22" customHeight="1">
      <c r="B29" s="62" t="inlineStr">
        <is>
          <t>Total</t>
        </is>
      </c>
      <c r="C29" s="63" t="n"/>
      <c r="D29" s="63" t="n"/>
      <c r="E29" s="63" t="n"/>
      <c r="F29" s="64">
        <f>SUM(F13:F28)</f>
        <v>7640</v>
      </c>
      <c r="G29" s="64">
        <f>SUM(G13:G28)</f>
        <v>1496</v>
      </c>
      <c r="H29" s="64">
        <f>SUM(H13:H28)</f>
        <v>6144</v>
      </c>
      <c r="I29" s="64">
        <f>SUM(I13:I28)</f>
        <v>408</v>
      </c>
      <c r="J29" s="63" t="n"/>
      <c r="K29" s="63" t="n"/>
      <c r="L29" s="63" t="n"/>
      <c r="M29" s="63" t="n"/>
      <c r="N29" s="63" t="n"/>
      <c r="O29" s="63" t="n"/>
      <c r="P29" s="63" t="n"/>
      <c r="Q29" s="64">
        <f>SUM(Q13:Q28)</f>
        <v>1634</v>
      </c>
      <c r="R29" s="66">
        <f>SUM(R13:R28)</f>
        <v>66460</v>
      </c>
      <c r="S29" s="63" t="n"/>
      <c r="T29" s="63" t="n"/>
    </row>
    <row r="31" ht="24" customHeight="1">
      <c r="B31" s="21" t="inlineStr">
        <is>
          <t>Cover versus reorder trigger</t>
        </is>
      </c>
      <c r="C31" s="22" t="n"/>
      <c r="D31" s="22" t="n"/>
      <c r="E31" s="22" t="n"/>
      <c r="F31" s="22" t="n"/>
      <c r="G31" s="22" t="n"/>
      <c r="H31" s="22" t="n"/>
      <c r="I31" s="22" t="n"/>
      <c r="J31" s="22" t="n"/>
      <c r="K31" s="22" t="n"/>
      <c r="L31" s="22" t="n"/>
      <c r="N31" s="21" t="inlineStr">
        <is>
          <t>How replenishment is calculated</t>
        </is>
      </c>
      <c r="O31" s="22" t="n"/>
      <c r="P31" s="22" t="n"/>
      <c r="Q31" s="22" t="n"/>
      <c r="R31" s="22" t="n"/>
      <c r="S31" s="22" t="n"/>
      <c r="T31" s="22" t="n"/>
    </row>
    <row r="32" ht="18" customHeight="1">
      <c r="N32" s="49" t="inlineStr">
        <is>
          <r>
            <rPr>
              <rFont val="Arial"/>
              <b val="1"/>
              <color rgb="001F2A44"/>
              <sz val="10"/>
            </rPr>
            <t>Available</t>
          </r>
          <r>
            <rPr>
              <rFont val="Arial"/>
              <color rgb="002E2A26"/>
              <sz val="10"/>
            </rPr>
            <t xml:space="preserve"> = on hand − quantities reserved for open orders (Processing and On Hold).
</t>
          </r>
          <r>
            <rPr>
              <rFont val="Arial"/>
              <b val="1"/>
              <color rgb="001F2A44"/>
              <sz val="10"/>
            </rPr>
            <t>Projected position</t>
          </r>
          <r>
            <rPr>
              <rFont val="Arial"/>
              <color rgb="002E2A26"/>
              <sz val="10"/>
            </rPr>
            <t xml:space="preserve"> = available + inbound purchase orders already confirmed by suppliers.
</t>
          </r>
          <r>
            <rPr>
              <rFont val="Arial"/>
              <b val="1"/>
              <color rgb="001F2A44"/>
              <sz val="10"/>
            </rPr>
            <t>Reorder point</t>
          </r>
          <r>
            <rPr>
              <rFont val="Arial"/>
              <color rgb="002E2A26"/>
              <sz val="10"/>
            </rPr>
            <t xml:space="preserve"> = average daily demand × (supplier lead time + safety stock days).
</t>
          </r>
          <r>
            <rPr>
              <rFont val="Arial"/>
              <b val="1"/>
              <color rgb="001F2A44"/>
              <sz val="10"/>
            </rPr>
            <t>Suggested reorder quantity</t>
          </r>
          <r>
            <rPr>
              <rFont val="Arial"/>
              <color rgb="002E2A26"/>
              <sz val="10"/>
            </rPr>
            <t xml:space="preserve"> = reorder point + target cover − projected position, rounded up to the MOQ. A suggestion appears only when the projected position is at or below the reorder point, or when available stock is zero or negative.
</t>
          </r>
          <r>
            <rPr>
              <rFont val="Arial"/>
              <b val="1"/>
              <color rgb="001F2A44"/>
              <sz val="10"/>
            </rPr>
            <t>Stock status</t>
          </r>
          <r>
            <rPr>
              <rFont val="Arial"/>
              <color rgb="002E2A26"/>
              <sz val="10"/>
            </rPr>
            <t xml:space="preserve">: Stockout risk when available stock is zero or negative; Reorder now at or below the reorder point; Watch within the buffer above the reorder point; otherwise Healthy.
</t>
          </r>
          <r>
            <rPr>
              <rFont val="Arial"/>
              <b val="1"/>
              <color rgb="001F2A44"/>
              <sz val="10"/>
            </rPr>
            <t>Approval</t>
          </r>
          <r>
            <rPr>
              <rFont val="Arial"/>
              <color rgb="002E2A26"/>
              <sz val="10"/>
            </rPr>
            <t>: purchase orders above USD 25,000 need sign-off from the Supply Chain Director before release.</t>
          </r>
        </is>
      </c>
    </row>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sheetData>
  <mergeCells count="21">
    <mergeCell ref="B7:C7"/>
    <mergeCell ref="I8:L8"/>
    <mergeCell ref="N31:T31"/>
    <mergeCell ref="F8:H8"/>
    <mergeCell ref="N6:Q6"/>
    <mergeCell ref="B31:L31"/>
    <mergeCell ref="D6:E6"/>
    <mergeCell ref="I6:L6"/>
    <mergeCell ref="B4:T4"/>
    <mergeCell ref="B8:C8"/>
    <mergeCell ref="N7:Q7"/>
    <mergeCell ref="D7:E7"/>
    <mergeCell ref="S6:T8"/>
    <mergeCell ref="I7:L7"/>
    <mergeCell ref="B11:N11"/>
    <mergeCell ref="D8:E8"/>
    <mergeCell ref="N32:T49"/>
    <mergeCell ref="B6:C6"/>
    <mergeCell ref="F6:H6"/>
    <mergeCell ref="N8:Q8"/>
    <mergeCell ref="F7:H7"/>
  </mergeCells>
  <conditionalFormatting sqref="S13:S28">
    <cfRule type="expression" priority="1" dxfId="5" stopIfTrue="1">
      <formula>S13=$P$11</formula>
    </cfRule>
    <cfRule type="expression" priority="2" dxfId="7" stopIfTrue="1">
      <formula>S13=$Q$11</formula>
    </cfRule>
    <cfRule type="expression" priority="3" dxfId="8" stopIfTrue="1">
      <formula>S13=$R$11</formula>
    </cfRule>
    <cfRule type="expression" priority="4" dxfId="13" stopIfTrue="1">
      <formula>S13=$S$11</formula>
    </cfRule>
  </conditionalFormatting>
  <conditionalFormatting sqref="Q13:R28">
    <cfRule type="expression" priority="5" dxfId="4">
      <formula>$Q13&gt;0</formula>
    </cfRule>
  </conditionalFormatting>
  <conditionalFormatting sqref="B13:T28">
    <cfRule type="expression" priority="6" dxfId="3">
      <formula>MOD(ROW(),2)=0</formula>
    </cfRule>
  </conditionalFormatting>
  <pageMargins left="0.4" right="0.4" top="0.5" bottom="0.5" header="0.5" footer="0.5"/>
  <pageSetup orientation="landscape" paperSize="9" fitToHeight="0" fitToWidth="1"/>
  <headerFooter>
    <oddHeader/>
    <oddFooter>&amp;L&amp;8 Linden &amp; Loom · Global Sales &amp; Operations Report FY2026&amp;R&amp;8 &amp;A · Page &amp;P of &amp;N</oddFooter>
    <evenHeader/>
    <evenFooter/>
    <firstHeader/>
    <firstFooter/>
  </headerFooter>
  <drawing xmlns:r="http://schemas.openxmlformats.org/officeDocument/2006/relationships" r:id="rId1"/>
</worksheet>
</file>

<file path=xl/worksheets/sheet6.xml><?xml version="1.0" encoding="utf-8"?>
<worksheet xmlns="http://schemas.openxmlformats.org/spreadsheetml/2006/main">
  <sheetPr>
    <tabColor rgb="00C2603A"/>
    <outlinePr summaryBelow="1" summaryRight="1"/>
    <pageSetUpPr fitToPage="1"/>
  </sheetPr>
  <dimension ref="A1:AL51"/>
  <sheetViews>
    <sheetView showGridLines="0" workbookViewId="0">
      <selection activeCell="A1" sqref="A1"/>
    </sheetView>
  </sheetViews>
  <sheetFormatPr baseColWidth="8" defaultRowHeight="15"/>
  <cols>
    <col width="2.5" customWidth="1" min="1" max="1"/>
    <col width="7" customWidth="1" min="2" max="2"/>
    <col width="18" customWidth="1" min="3" max="3"/>
    <col width="42" customWidth="1" min="4" max="4"/>
    <col width="17" customWidth="1" min="5" max="5"/>
    <col width="11.5" customWidth="1" min="6" max="6"/>
    <col width="11.5" customWidth="1" min="7" max="7"/>
    <col width="8.5" customWidth="1" min="8" max="8"/>
    <col width="12.5" customWidth="1" min="9" max="9"/>
    <col width="10" customWidth="1" min="10" max="10"/>
    <col width="2" customWidth="1" min="11" max="11"/>
    <col width="3.6" customWidth="1" min="12" max="12"/>
    <col width="3.6" customWidth="1" min="13" max="13"/>
    <col width="3.6" customWidth="1" min="14" max="14"/>
    <col width="3.6" customWidth="1" min="15" max="15"/>
    <col width="3.6" customWidth="1" min="16" max="16"/>
    <col width="3.6" customWidth="1" min="17" max="17"/>
    <col width="3.6" customWidth="1" min="18" max="18"/>
    <col width="3.6" customWidth="1" min="19" max="19"/>
    <col width="3.6" customWidth="1" min="20" max="20"/>
    <col width="3.6" customWidth="1" min="21" max="21"/>
    <col width="3.6" customWidth="1" min="22" max="22"/>
    <col width="3.6" customWidth="1" min="23" max="23"/>
    <col width="3.6" customWidth="1" min="24" max="24"/>
    <col width="3.6" customWidth="1" min="25" max="25"/>
    <col width="3.6" customWidth="1" min="26" max="26"/>
    <col width="3.6" customWidth="1" min="27" max="27"/>
    <col width="3.6" customWidth="1" min="28" max="28"/>
    <col width="3.6" customWidth="1" min="29" max="29"/>
    <col width="3.6" customWidth="1" min="30" max="30"/>
    <col width="3.6" customWidth="1" min="31" max="31"/>
    <col width="3.6" customWidth="1" min="32" max="32"/>
    <col width="3.6" customWidth="1" min="33" max="33"/>
    <col width="3.6" customWidth="1" min="34" max="34"/>
    <col width="3.6" customWidth="1" min="35" max="35"/>
    <col width="3.6" customWidth="1" min="36" max="36"/>
    <col width="3.6" customWidth="1" min="37" max="37"/>
    <col width="2.5" customWidth="1" min="38" max="38"/>
  </cols>
  <sheetData>
    <row r="1" ht="7" customHeight="1">
      <c r="A1" s="1" t="n"/>
      <c r="B1" s="1" t="n"/>
      <c r="C1" s="1" t="n"/>
      <c r="D1" s="1" t="n"/>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 t="n"/>
      <c r="AC1" s="1" t="n"/>
      <c r="AD1" s="1" t="n"/>
      <c r="AE1" s="1" t="n"/>
      <c r="AF1" s="1" t="n"/>
      <c r="AG1" s="1" t="n"/>
      <c r="AH1" s="1" t="n"/>
      <c r="AI1" s="1" t="n"/>
      <c r="AJ1" s="1" t="n"/>
      <c r="AK1" s="1" t="n"/>
      <c r="AL1" s="1" t="n"/>
    </row>
    <row r="2" ht="22" customHeight="1">
      <c r="B2" s="53" t="inlineStr">
        <is>
          <t>LINDEN &amp; LOOM · GLOBAL SALES &amp; OPERATIONS REPORT FY2026</t>
        </is>
      </c>
    </row>
    <row r="3" ht="32" customHeight="1">
      <c r="B3" s="54" t="inlineStr">
        <is>
          <t>Project Tidewater · Coastline Collection Launch Plan</t>
        </is>
      </c>
    </row>
    <row r="4" ht="30" customHeight="1">
      <c r="B4" s="55" t="inlineStr">
        <is>
          <t>Cross-functional plan for the Spring 2027 launch of the Coastline collection in all eight markets, including the new Japanese e-commerce storefront. Status is reviewed every Monday by the steering committee.</t>
        </is>
      </c>
    </row>
    <row r="5" ht="10" customHeight="1"/>
    <row r="6" ht="21" customHeight="1">
      <c r="B6" s="37" t="inlineStr">
        <is>
          <t>PROJECT BRIEF</t>
        </is>
      </c>
      <c r="I6" s="120" t="inlineStr">
        <is>
          <t>Sponsor</t>
        </is>
      </c>
      <c r="J6" s="31" t="n"/>
      <c r="L6" s="57" t="inlineStr">
        <is>
          <t>Henrik Vale, Chief Commercial Officer</t>
        </is>
      </c>
      <c r="M6" s="31" t="n"/>
      <c r="N6" s="31" t="n"/>
      <c r="O6" s="31" t="n"/>
      <c r="P6" s="31" t="n"/>
      <c r="Q6" s="31" t="n"/>
      <c r="R6" s="31" t="n"/>
      <c r="S6" s="31" t="n"/>
      <c r="T6" s="31" t="n"/>
      <c r="U6" s="31" t="n"/>
      <c r="V6" s="31" t="n"/>
      <c r="X6" s="37" t="inlineStr">
        <is>
          <t>OVERALL PROGRESS (DURATION-WEIGHTED)</t>
        </is>
      </c>
    </row>
    <row r="7" ht="21" customHeight="1">
      <c r="B7" s="49" t="inlineStr">
        <is>
          <r>
            <rPr>
              <rFont val="Arial"/>
              <b val="1"/>
              <color rgb="001F2A44"/>
              <sz val="10"/>
            </rPr>
            <t xml:space="preserve">Objective: </t>
          </r>
          <r>
            <rPr>
              <rFont val="Arial"/>
              <color rgb="002E2A26"/>
              <sz val="10"/>
            </rPr>
            <t xml:space="preserve">launch nine Coastline SKUs across lighting, textiles and tableware on 1 March 2027, with stock, localised content and certifications in place for every market.
</t>
          </r>
          <r>
            <rPr>
              <rFont val="Arial"/>
              <b val="1"/>
              <color rgb="001F2A44"/>
              <sz val="10"/>
            </rPr>
            <t xml:space="preserve">Success measures: </t>
          </r>
          <r>
            <rPr>
              <rFont val="Arial"/>
              <color rgb="002E2A26"/>
              <sz val="10"/>
            </rPr>
            <t>USD 650,000 in wholesale pre-orders, a live Japanese storefront at launch, and no SKU launched without complete product data in all five languages.</t>
          </r>
        </is>
      </c>
      <c r="I7" s="120" t="inlineStr">
        <is>
          <t>Project lead</t>
        </is>
      </c>
      <c r="J7" s="31" t="n"/>
      <c r="L7" s="57" t="inlineStr">
        <is>
          <t>Freja Lindqvist, Product Director</t>
        </is>
      </c>
      <c r="M7" s="31" t="n"/>
      <c r="N7" s="31" t="n"/>
      <c r="O7" s="31" t="n"/>
      <c r="P7" s="31" t="n"/>
      <c r="Q7" s="31" t="n"/>
      <c r="R7" s="31" t="n"/>
      <c r="S7" s="31" t="n"/>
      <c r="T7" s="31" t="n"/>
      <c r="U7" s="31" t="n"/>
      <c r="V7" s="31" t="n"/>
      <c r="X7" s="121">
        <f>IFERROR(SUMPRODUCT(H16:H33,J16:J33)/SUM(H16:H33),0)</f>
        <v>0.198757763975155</v>
      </c>
      <c r="AD7" s="122" t="str">
        <f>$H$12</f>
        <v>Complete</v>
      </c>
      <c r="AI7" s="123">
        <f>SUMPRODUCT(($I$16:$I$33=$H$12)*(LEFT($B$16:$B$33,1)="T"))</f>
        <v>2</v>
      </c>
    </row>
    <row r="8" ht="21" customHeight="1">
      <c r="I8" s="120" t="inlineStr">
        <is>
          <t>Launch date</t>
        </is>
      </c>
      <c r="J8" s="31" t="n"/>
      <c r="L8" s="124">
        <f>G33</f>
        <v>46447.0</v>
      </c>
      <c r="M8" s="31" t="n"/>
      <c r="N8" s="31" t="n"/>
      <c r="O8" s="31" t="n"/>
      <c r="P8" s="31" t="n"/>
      <c r="Q8" s="31" t="n"/>
      <c r="R8" s="31" t="n"/>
      <c r="S8" s="31" t="n"/>
      <c r="T8" s="31" t="n"/>
      <c r="U8" s="31" t="n"/>
      <c r="V8" s="31" t="n"/>
      <c r="AD8" s="122" t="str">
        <f>$F$12</f>
        <v>In progress</v>
      </c>
      <c r="AI8" s="125">
        <f>SUMPRODUCT(($I$16:$I$33=$F$12)*(LEFT($B$16:$B$33,1)="T"))</f>
        <v>4</v>
      </c>
    </row>
    <row r="9" ht="21" customHeight="1">
      <c r="I9" s="120" t="inlineStr">
        <is>
          <t>Approved budget (USD)</t>
        </is>
      </c>
      <c r="J9" s="31" t="n"/>
      <c r="L9" s="126" t="n">
        <v>480000</v>
      </c>
      <c r="M9" s="127" t="n"/>
      <c r="N9" s="127" t="n"/>
      <c r="O9" s="127" t="n"/>
      <c r="P9" s="127" t="n"/>
      <c r="Q9" s="127" t="n"/>
      <c r="R9" s="127" t="n"/>
      <c r="S9" s="127" t="n"/>
      <c r="T9" s="127" t="n"/>
      <c r="U9" s="127" t="n"/>
      <c r="V9" s="127" t="n"/>
      <c r="AD9" s="122" t="str">
        <f>$G$12</f>
        <v>At risk</v>
      </c>
      <c r="AI9" s="128">
        <f>SUMPRODUCT(($I$16:$I$33=$G$12)*(LEFT($B$16:$B$33,1)="T"))</f>
        <v>1</v>
      </c>
    </row>
    <row r="10" ht="21" customHeight="1">
      <c r="I10" s="120" t="inlineStr">
        <is>
          <t>Status date</t>
        </is>
      </c>
      <c r="J10" s="31" t="n"/>
      <c r="L10" s="129" t="n">
        <v>46314</v>
      </c>
      <c r="M10" s="127" t="n"/>
      <c r="N10" s="127" t="n"/>
      <c r="O10" s="127" t="n"/>
      <c r="P10" s="127" t="n"/>
      <c r="Q10" s="127" t="n"/>
      <c r="R10" s="127" t="n"/>
      <c r="S10" s="127" t="n"/>
      <c r="T10" s="127" t="n"/>
      <c r="U10" s="127" t="n"/>
      <c r="V10" s="127" t="n"/>
      <c r="AD10" s="122" t="str">
        <f>$E$12</f>
        <v>Not started</v>
      </c>
      <c r="AI10" s="130">
        <f>SUMPRODUCT(($I$16:$I$33=$E$12)*(LEFT($B$16:$B$33,1)="T"))</f>
        <v>8</v>
      </c>
    </row>
    <row r="11" ht="12" customHeight="1"/>
    <row r="12" ht="22" customHeight="1">
      <c r="D12" s="83" t="inlineStr">
        <is>
          <t>Status key</t>
        </is>
      </c>
      <c r="E12" s="131" t="inlineStr">
        <is>
          <t>Not started</t>
        </is>
      </c>
      <c r="F12" s="86" t="inlineStr">
        <is>
          <t>In progress</t>
        </is>
      </c>
      <c r="G12" s="88" t="inlineStr">
        <is>
          <t>At risk</t>
        </is>
      </c>
      <c r="H12" s="85" t="inlineStr">
        <is>
          <t>Complete</t>
        </is>
      </c>
      <c r="J12" s="132" t="inlineStr">
        <is>
          <t>Bar = planned duration</t>
        </is>
      </c>
    </row>
    <row r="13" ht="10" customHeight="1"/>
    <row r="14" ht="20" customHeight="1">
      <c r="B14" s="133" t="inlineStr">
        <is>
          <t>ID</t>
        </is>
      </c>
      <c r="C14" s="133" t="inlineStr">
        <is>
          <t>Workstream</t>
        </is>
      </c>
      <c r="D14" s="133" t="inlineStr">
        <is>
          <t>Task</t>
        </is>
      </c>
      <c r="E14" s="133" t="inlineStr">
        <is>
          <t>Owner</t>
        </is>
      </c>
      <c r="F14" s="133" t="inlineStr">
        <is>
          <t>Start</t>
        </is>
      </c>
      <c r="G14" s="133" t="inlineStr">
        <is>
          <t>End</t>
        </is>
      </c>
      <c r="H14" s="133" t="inlineStr">
        <is>
          <t>Work days</t>
        </is>
      </c>
      <c r="I14" s="133" t="inlineStr">
        <is>
          <t>Status</t>
        </is>
      </c>
      <c r="J14" s="133" t="inlineStr">
        <is>
          <t>% complete</t>
        </is>
      </c>
      <c r="L14" s="134">
        <f>L15</f>
        <v>46272.0</v>
      </c>
      <c r="P14" s="134">
        <f>P15</f>
        <v>46300.0</v>
      </c>
      <c r="T14" s="134">
        <f>T15</f>
        <v>46328.0</v>
      </c>
      <c r="Y14" s="134">
        <f>Y15</f>
        <v>46363.0</v>
      </c>
      <c r="AC14" s="134">
        <f>AC15</f>
        <v>46391.0</v>
      </c>
      <c r="AG14" s="134">
        <f>AG15</f>
        <v>46419.0</v>
      </c>
      <c r="AK14" s="135">
        <f>AK15</f>
        <v>46447.0</v>
      </c>
    </row>
    <row r="15" ht="30" customHeight="1">
      <c r="B15" s="136" t="n"/>
      <c r="C15" s="136" t="n"/>
      <c r="D15" s="136" t="n"/>
      <c r="E15" s="136" t="n"/>
      <c r="F15" s="136" t="n"/>
      <c r="G15" s="136" t="n"/>
      <c r="H15" s="136" t="n"/>
      <c r="I15" s="136" t="n"/>
      <c r="J15" s="136" t="n"/>
      <c r="L15" s="137" t="n">
        <v>46272</v>
      </c>
      <c r="M15" s="138">
        <f>L15+7</f>
        <v>46279.0</v>
      </c>
      <c r="N15" s="138">
        <f>M15+7</f>
        <v>46286.0</v>
      </c>
      <c r="O15" s="138">
        <f>N15+7</f>
        <v>46293.0</v>
      </c>
      <c r="P15" s="138">
        <f>O15+7</f>
        <v>46300.0</v>
      </c>
      <c r="Q15" s="138">
        <f>P15+7</f>
        <v>46307.0</v>
      </c>
      <c r="R15" s="138">
        <f>Q15+7</f>
        <v>46314.0</v>
      </c>
      <c r="S15" s="138">
        <f>R15+7</f>
        <v>46321.0</v>
      </c>
      <c r="T15" s="138">
        <f>S15+7</f>
        <v>46328.0</v>
      </c>
      <c r="U15" s="138">
        <f>T15+7</f>
        <v>46335.0</v>
      </c>
      <c r="V15" s="138">
        <f>U15+7</f>
        <v>46342.0</v>
      </c>
      <c r="W15" s="138">
        <f>V15+7</f>
        <v>46349.0</v>
      </c>
      <c r="X15" s="138">
        <f>W15+7</f>
        <v>46356.0</v>
      </c>
      <c r="Y15" s="138">
        <f>X15+7</f>
        <v>46363.0</v>
      </c>
      <c r="Z15" s="138">
        <f>Y15+7</f>
        <v>46370.0</v>
      </c>
      <c r="AA15" s="138">
        <f>Z15+7</f>
        <v>46377.0</v>
      </c>
      <c r="AB15" s="138">
        <f>AA15+7</f>
        <v>46384.0</v>
      </c>
      <c r="AC15" s="138">
        <f>AB15+7</f>
        <v>46391.0</v>
      </c>
      <c r="AD15" s="138">
        <f>AC15+7</f>
        <v>46398.0</v>
      </c>
      <c r="AE15" s="138">
        <f>AD15+7</f>
        <v>46405.0</v>
      </c>
      <c r="AF15" s="138">
        <f>AE15+7</f>
        <v>46412.0</v>
      </c>
      <c r="AG15" s="138">
        <f>AF15+7</f>
        <v>46419.0</v>
      </c>
      <c r="AH15" s="138">
        <f>AG15+7</f>
        <v>46426.0</v>
      </c>
      <c r="AI15" s="138">
        <f>AH15+7</f>
        <v>46433.0</v>
      </c>
      <c r="AJ15" s="138">
        <f>AI15+7</f>
        <v>46440.0</v>
      </c>
      <c r="AK15" s="138">
        <f>AJ15+7</f>
        <v>46447.0</v>
      </c>
    </row>
    <row r="16" ht="34.4" customHeight="1">
      <c r="B16" s="139" t="inlineStr">
        <is>
          <t>T-01</t>
        </is>
      </c>
      <c r="C16" s="58" t="inlineStr">
        <is>
          <t>Product &amp; Sourcing</t>
        </is>
      </c>
      <c r="D16" s="140" t="inlineStr">
        <is>
          <t>Finalise Coastline range and costed bills of materials</t>
        </is>
      </c>
      <c r="E16" s="140" t="inlineStr">
        <is>
          <t>Freja Lindqvist</t>
        </is>
      </c>
      <c r="F16" s="141" t="n">
        <v>46272</v>
      </c>
      <c r="G16" s="141" t="n">
        <v>46297</v>
      </c>
      <c r="H16" s="142">
        <f>NETWORKDAYS(F16,G16)</f>
        <v>20</v>
      </c>
      <c r="I16" s="59" t="inlineStr">
        <is>
          <t>Complete</t>
        </is>
      </c>
      <c r="J16" s="143" t="n">
        <v>1</v>
      </c>
      <c r="L16" s="144" t="n"/>
      <c r="M16" s="144" t="n"/>
      <c r="N16" s="144" t="n"/>
      <c r="O16" s="144" t="n"/>
      <c r="P16" s="144" t="n"/>
      <c r="Q16" s="144" t="n"/>
      <c r="R16" s="144" t="n"/>
      <c r="S16" s="144" t="n"/>
      <c r="T16" s="144" t="n"/>
      <c r="U16" s="144" t="n"/>
      <c r="V16" s="144" t="n"/>
      <c r="W16" s="144" t="n"/>
      <c r="X16" s="144" t="n"/>
      <c r="Y16" s="144" t="n"/>
      <c r="Z16" s="144" t="n"/>
      <c r="AA16" s="144" t="n"/>
      <c r="AB16" s="144" t="n"/>
      <c r="AC16" s="144" t="n"/>
      <c r="AD16" s="144" t="n"/>
      <c r="AE16" s="144" t="n"/>
      <c r="AF16" s="144" t="n"/>
      <c r="AG16" s="144" t="n"/>
      <c r="AH16" s="144" t="n"/>
      <c r="AI16" s="144" t="n"/>
      <c r="AJ16" s="144" t="n"/>
      <c r="AK16" s="144" t="n"/>
    </row>
    <row r="17" ht="22" customHeight="1">
      <c r="B17" s="139" t="inlineStr">
        <is>
          <t>T-02</t>
        </is>
      </c>
      <c r="C17" s="58" t="inlineStr">
        <is>
          <t>Product &amp; Sourcing</t>
        </is>
      </c>
      <c r="D17" s="140" t="inlineStr">
        <is>
          <t>Approve pre-production samples</t>
        </is>
      </c>
      <c r="E17" s="140" t="inlineStr">
        <is>
          <t>Freja Lindqvist</t>
        </is>
      </c>
      <c r="F17" s="141" t="n">
        <v>46286</v>
      </c>
      <c r="G17" s="141" t="n">
        <v>46311</v>
      </c>
      <c r="H17" s="142">
        <f>NETWORKDAYS(F17,G17)</f>
        <v>20</v>
      </c>
      <c r="I17" s="59" t="inlineStr">
        <is>
          <t>Complete</t>
        </is>
      </c>
      <c r="J17" s="143" t="n">
        <v>1</v>
      </c>
      <c r="L17" s="144" t="n"/>
      <c r="M17" s="144" t="n"/>
      <c r="N17" s="144" t="n"/>
      <c r="O17" s="144" t="n"/>
      <c r="P17" s="144" t="n"/>
      <c r="Q17" s="144" t="n"/>
      <c r="R17" s="144" t="n"/>
      <c r="S17" s="144" t="n"/>
      <c r="T17" s="144" t="n"/>
      <c r="U17" s="144" t="n"/>
      <c r="V17" s="144" t="n"/>
      <c r="W17" s="144" t="n"/>
      <c r="X17" s="144" t="n"/>
      <c r="Y17" s="144" t="n"/>
      <c r="Z17" s="144" t="n"/>
      <c r="AA17" s="144" t="n"/>
      <c r="AB17" s="144" t="n"/>
      <c r="AC17" s="144" t="n"/>
      <c r="AD17" s="144" t="n"/>
      <c r="AE17" s="144" t="n"/>
      <c r="AF17" s="144" t="n"/>
      <c r="AG17" s="144" t="n"/>
      <c r="AH17" s="144" t="n"/>
      <c r="AI17" s="144" t="n"/>
      <c r="AJ17" s="144" t="n"/>
      <c r="AK17" s="144" t="n"/>
    </row>
    <row r="18" ht="34.4" customHeight="1">
      <c r="B18" s="145" t="inlineStr">
        <is>
          <t>M-1</t>
        </is>
      </c>
      <c r="C18" s="145" t="inlineStr">
        <is>
          <t>Milestone</t>
        </is>
      </c>
      <c r="D18" s="146" t="inlineStr">
        <is>
          <t>Range freeze</t>
        </is>
      </c>
      <c r="E18" s="146" t="inlineStr">
        <is>
          <t>Steering committee</t>
        </is>
      </c>
      <c r="F18" s="147" t="n">
        <v>46311</v>
      </c>
      <c r="G18" s="147" t="n">
        <v>46311</v>
      </c>
      <c r="H18" s="148">
        <f>NETWORKDAYS(F18,G18)</f>
        <v>1</v>
      </c>
      <c r="I18" s="149" t="inlineStr">
        <is>
          <t>Complete</t>
        </is>
      </c>
      <c r="J18" s="150" t="n">
        <v>1</v>
      </c>
      <c r="L18" s="151">
        <f>IF(AND(L$15&lt;=$G18,L$15+6&gt;=$F18),"◆","")</f>
      </c>
      <c r="M18" s="151">
        <f>IF(AND(M$15&lt;=$G18,M$15+6&gt;=$F18),"◆","")</f>
      </c>
      <c r="N18" s="151">
        <f>IF(AND(N$15&lt;=$G18,N$15+6&gt;=$F18),"◆","")</f>
      </c>
      <c r="O18" s="151">
        <f>IF(AND(O$15&lt;=$G18,O$15+6&gt;=$F18),"◆","")</f>
      </c>
      <c r="P18" s="151">
        <f>IF(AND(P$15&lt;=$G18,P$15+6&gt;=$F18),"◆","")</f>
      </c>
      <c r="Q18" s="151" t="str">
        <f>IF(AND(Q$15&lt;=$G18,Q$15+6&gt;=$F18),"◆","")</f>
        <v>◆</v>
      </c>
      <c r="R18" s="151">
        <f>IF(AND(R$15&lt;=$G18,R$15+6&gt;=$F18),"◆","")</f>
      </c>
      <c r="S18" s="151">
        <f>IF(AND(S$15&lt;=$G18,S$15+6&gt;=$F18),"◆","")</f>
      </c>
      <c r="T18" s="151">
        <f>IF(AND(T$15&lt;=$G18,T$15+6&gt;=$F18),"◆","")</f>
      </c>
      <c r="U18" s="151">
        <f>IF(AND(U$15&lt;=$G18,U$15+6&gt;=$F18),"◆","")</f>
      </c>
      <c r="V18" s="151">
        <f>IF(AND(V$15&lt;=$G18,V$15+6&gt;=$F18),"◆","")</f>
      </c>
      <c r="W18" s="151">
        <f>IF(AND(W$15&lt;=$G18,W$15+6&gt;=$F18),"◆","")</f>
      </c>
      <c r="X18" s="151">
        <f>IF(AND(X$15&lt;=$G18,X$15+6&gt;=$F18),"◆","")</f>
      </c>
      <c r="Y18" s="151">
        <f>IF(AND(Y$15&lt;=$G18,Y$15+6&gt;=$F18),"◆","")</f>
      </c>
      <c r="Z18" s="151">
        <f>IF(AND(Z$15&lt;=$G18,Z$15+6&gt;=$F18),"◆","")</f>
      </c>
      <c r="AA18" s="151">
        <f>IF(AND(AA$15&lt;=$G18,AA$15+6&gt;=$F18),"◆","")</f>
      </c>
      <c r="AB18" s="151">
        <f>IF(AND(AB$15&lt;=$G18,AB$15+6&gt;=$F18),"◆","")</f>
      </c>
      <c r="AC18" s="151">
        <f>IF(AND(AC$15&lt;=$G18,AC$15+6&gt;=$F18),"◆","")</f>
      </c>
      <c r="AD18" s="151">
        <f>IF(AND(AD$15&lt;=$G18,AD$15+6&gt;=$F18),"◆","")</f>
      </c>
      <c r="AE18" s="151">
        <f>IF(AND(AE$15&lt;=$G18,AE$15+6&gt;=$F18),"◆","")</f>
      </c>
      <c r="AF18" s="151">
        <f>IF(AND(AF$15&lt;=$G18,AF$15+6&gt;=$F18),"◆","")</f>
      </c>
      <c r="AG18" s="151">
        <f>IF(AND(AG$15&lt;=$G18,AG$15+6&gt;=$F18),"◆","")</f>
      </c>
      <c r="AH18" s="151">
        <f>IF(AND(AH$15&lt;=$G18,AH$15+6&gt;=$F18),"◆","")</f>
      </c>
      <c r="AI18" s="151">
        <f>IF(AND(AI$15&lt;=$G18,AI$15+6&gt;=$F18),"◆","")</f>
      </c>
      <c r="AJ18" s="151">
        <f>IF(AND(AJ$15&lt;=$G18,AJ$15+6&gt;=$F18),"◆","")</f>
      </c>
      <c r="AK18" s="151">
        <f>IF(AND(AK$15&lt;=$G18,AK$15+6&gt;=$F18),"◆","")</f>
      </c>
    </row>
    <row r="19" ht="34.4" customHeight="1">
      <c r="B19" s="139" t="inlineStr">
        <is>
          <t>T-03</t>
        </is>
      </c>
      <c r="C19" s="58" t="inlineStr">
        <is>
          <t>Compliance</t>
        </is>
      </c>
      <c r="D19" s="140" t="inlineStr">
        <is>
          <t>Electrical certification for lighting (CE, UKCA, UL, PSE)</t>
        </is>
      </c>
      <c r="E19" s="140" t="inlineStr">
        <is>
          <t>Sophie Marchand</t>
        </is>
      </c>
      <c r="F19" s="141" t="n">
        <v>46293</v>
      </c>
      <c r="G19" s="141" t="n">
        <v>46346</v>
      </c>
      <c r="H19" s="142">
        <f>NETWORKDAYS(F19,G19)</f>
        <v>40</v>
      </c>
      <c r="I19" s="59" t="inlineStr">
        <is>
          <t>In progress</t>
        </is>
      </c>
      <c r="J19" s="143" t="n">
        <v>0.55</v>
      </c>
      <c r="L19" s="144" t="n"/>
      <c r="M19" s="144" t="n"/>
      <c r="N19" s="144" t="n"/>
      <c r="O19" s="144" t="n"/>
      <c r="P19" s="144" t="n"/>
      <c r="Q19" s="144" t="n"/>
      <c r="R19" s="144" t="n"/>
      <c r="S19" s="144" t="n"/>
      <c r="T19" s="144" t="n"/>
      <c r="U19" s="144" t="n"/>
      <c r="V19" s="144" t="n"/>
      <c r="W19" s="144" t="n"/>
      <c r="X19" s="144" t="n"/>
      <c r="Y19" s="144" t="n"/>
      <c r="Z19" s="144" t="n"/>
      <c r="AA19" s="144" t="n"/>
      <c r="AB19" s="144" t="n"/>
      <c r="AC19" s="144" t="n"/>
      <c r="AD19" s="144" t="n"/>
      <c r="AE19" s="144" t="n"/>
      <c r="AF19" s="144" t="n"/>
      <c r="AG19" s="144" t="n"/>
      <c r="AH19" s="144" t="n"/>
      <c r="AI19" s="144" t="n"/>
      <c r="AJ19" s="144" t="n"/>
      <c r="AK19" s="144" t="n"/>
    </row>
    <row r="20" ht="22" customHeight="1">
      <c r="B20" s="139" t="inlineStr">
        <is>
          <t>T-04</t>
        </is>
      </c>
      <c r="C20" s="58" t="inlineStr">
        <is>
          <t>Compliance</t>
        </is>
      </c>
      <c r="D20" s="140" t="inlineStr">
        <is>
          <t>Textile and food-contact testing</t>
        </is>
      </c>
      <c r="E20" s="140" t="inlineStr">
        <is>
          <t>Sophie Marchand</t>
        </is>
      </c>
      <c r="F20" s="141" t="n">
        <v>46307</v>
      </c>
      <c r="G20" s="141" t="n">
        <v>46353</v>
      </c>
      <c r="H20" s="142">
        <f>NETWORKDAYS(F20,G20)</f>
        <v>35</v>
      </c>
      <c r="I20" s="59" t="inlineStr">
        <is>
          <t>In progress</t>
        </is>
      </c>
      <c r="J20" s="143" t="n">
        <v>0.3</v>
      </c>
      <c r="L20" s="144" t="n"/>
      <c r="M20" s="144" t="n"/>
      <c r="N20" s="144" t="n"/>
      <c r="O20" s="144" t="n"/>
      <c r="P20" s="144" t="n"/>
      <c r="Q20" s="144" t="n"/>
      <c r="R20" s="144" t="n"/>
      <c r="S20" s="144" t="n"/>
      <c r="T20" s="144" t="n"/>
      <c r="U20" s="144" t="n"/>
      <c r="V20" s="144" t="n"/>
      <c r="W20" s="144" t="n"/>
      <c r="X20" s="144" t="n"/>
      <c r="Y20" s="144" t="n"/>
      <c r="Z20" s="144" t="n"/>
      <c r="AA20" s="144" t="n"/>
      <c r="AB20" s="144" t="n"/>
      <c r="AC20" s="144" t="n"/>
      <c r="AD20" s="144" t="n"/>
      <c r="AE20" s="144" t="n"/>
      <c r="AF20" s="144" t="n"/>
      <c r="AG20" s="144" t="n"/>
      <c r="AH20" s="144" t="n"/>
      <c r="AI20" s="144" t="n"/>
      <c r="AJ20" s="144" t="n"/>
      <c r="AK20" s="144" t="n"/>
    </row>
    <row r="21" ht="22" customHeight="1">
      <c r="B21" s="139" t="inlineStr">
        <is>
          <t>T-05</t>
        </is>
      </c>
      <c r="C21" s="58" t="inlineStr">
        <is>
          <t>Supply Chain</t>
        </is>
      </c>
      <c r="D21" s="140" t="inlineStr">
        <is>
          <t>Place initial production orders</t>
        </is>
      </c>
      <c r="E21" s="140" t="inlineStr">
        <is>
          <t>Tom Ashby</t>
        </is>
      </c>
      <c r="F21" s="141" t="n">
        <v>46314</v>
      </c>
      <c r="G21" s="141" t="n">
        <v>46332</v>
      </c>
      <c r="H21" s="142">
        <f>NETWORKDAYS(F21,G21)</f>
        <v>15</v>
      </c>
      <c r="I21" s="59" t="inlineStr">
        <is>
          <t>In progress</t>
        </is>
      </c>
      <c r="J21" s="143" t="n">
        <v>0.2</v>
      </c>
      <c r="L21" s="144" t="n"/>
      <c r="M21" s="144" t="n"/>
      <c r="N21" s="144" t="n"/>
      <c r="O21" s="144" t="n"/>
      <c r="P21" s="144" t="n"/>
      <c r="Q21" s="144" t="n"/>
      <c r="R21" s="144" t="n"/>
      <c r="S21" s="144" t="n"/>
      <c r="T21" s="144" t="n"/>
      <c r="U21" s="144" t="n"/>
      <c r="V21" s="144" t="n"/>
      <c r="W21" s="144" t="n"/>
      <c r="X21" s="144" t="n"/>
      <c r="Y21" s="144" t="n"/>
      <c r="Z21" s="144" t="n"/>
      <c r="AA21" s="144" t="n"/>
      <c r="AB21" s="144" t="n"/>
      <c r="AC21" s="144" t="n"/>
      <c r="AD21" s="144" t="n"/>
      <c r="AE21" s="144" t="n"/>
      <c r="AF21" s="144" t="n"/>
      <c r="AG21" s="144" t="n"/>
      <c r="AH21" s="144" t="n"/>
      <c r="AI21" s="144" t="n"/>
      <c r="AJ21" s="144" t="n"/>
      <c r="AK21" s="144" t="n"/>
    </row>
    <row r="22" ht="22" customHeight="1">
      <c r="B22" s="139" t="inlineStr">
        <is>
          <t>T-06</t>
        </is>
      </c>
      <c r="C22" s="58" t="inlineStr">
        <is>
          <t>Supply Chain</t>
        </is>
      </c>
      <c r="D22" s="140" t="inlineStr">
        <is>
          <t>Inbound freight and DC allocation</t>
        </is>
      </c>
      <c r="E22" s="140" t="inlineStr">
        <is>
          <t>Jonas Weber</t>
        </is>
      </c>
      <c r="F22" s="141" t="n">
        <v>46335</v>
      </c>
      <c r="G22" s="141" t="n">
        <v>46409</v>
      </c>
      <c r="H22" s="142">
        <f>NETWORKDAYS(F22,G22)</f>
        <v>55</v>
      </c>
      <c r="I22" s="59" t="inlineStr">
        <is>
          <t>Not started</t>
        </is>
      </c>
      <c r="J22" s="143" t="n">
        <v>0</v>
      </c>
      <c r="L22" s="144" t="n"/>
      <c r="M22" s="144" t="n"/>
      <c r="N22" s="144" t="n"/>
      <c r="O22" s="144" t="n"/>
      <c r="P22" s="144" t="n"/>
      <c r="Q22" s="144" t="n"/>
      <c r="R22" s="144" t="n"/>
      <c r="S22" s="144" t="n"/>
      <c r="T22" s="144" t="n"/>
      <c r="U22" s="144" t="n"/>
      <c r="V22" s="144" t="n"/>
      <c r="W22" s="144" t="n"/>
      <c r="X22" s="144" t="n"/>
      <c r="Y22" s="144" t="n"/>
      <c r="Z22" s="144" t="n"/>
      <c r="AA22" s="144" t="n"/>
      <c r="AB22" s="144" t="n"/>
      <c r="AC22" s="144" t="n"/>
      <c r="AD22" s="144" t="n"/>
      <c r="AE22" s="144" t="n"/>
      <c r="AF22" s="144" t="n"/>
      <c r="AG22" s="144" t="n"/>
      <c r="AH22" s="144" t="n"/>
      <c r="AI22" s="144" t="n"/>
      <c r="AJ22" s="144" t="n"/>
      <c r="AK22" s="144" t="n"/>
    </row>
    <row r="23" ht="34.4" customHeight="1">
      <c r="B23" s="139" t="inlineStr">
        <is>
          <t>T-07</t>
        </is>
      </c>
      <c r="C23" s="58" t="inlineStr">
        <is>
          <t>Localization</t>
        </is>
      </c>
      <c r="D23" s="140" t="inlineStr">
        <is>
          <t>Translate product content into German, French, Japanese and Swedish</t>
        </is>
      </c>
      <c r="E23" s="140" t="inlineStr">
        <is>
          <t>Aiko Mori</t>
        </is>
      </c>
      <c r="F23" s="141" t="n">
        <v>46321</v>
      </c>
      <c r="G23" s="141" t="n">
        <v>46367</v>
      </c>
      <c r="H23" s="142">
        <f>NETWORKDAYS(F23,G23)</f>
        <v>35</v>
      </c>
      <c r="I23" s="59" t="inlineStr">
        <is>
          <t>Not started</t>
        </is>
      </c>
      <c r="J23" s="143" t="n">
        <v>0</v>
      </c>
      <c r="L23" s="144" t="n"/>
      <c r="M23" s="144" t="n"/>
      <c r="N23" s="144" t="n"/>
      <c r="O23" s="144" t="n"/>
      <c r="P23" s="144" t="n"/>
      <c r="Q23" s="144" t="n"/>
      <c r="R23" s="144" t="n"/>
      <c r="S23" s="144" t="n"/>
      <c r="T23" s="144" t="n"/>
      <c r="U23" s="144" t="n"/>
      <c r="V23" s="144" t="n"/>
      <c r="W23" s="144" t="n"/>
      <c r="X23" s="144" t="n"/>
      <c r="Y23" s="144" t="n"/>
      <c r="Z23" s="144" t="n"/>
      <c r="AA23" s="144" t="n"/>
      <c r="AB23" s="144" t="n"/>
      <c r="AC23" s="144" t="n"/>
      <c r="AD23" s="144" t="n"/>
      <c r="AE23" s="144" t="n"/>
      <c r="AF23" s="144" t="n"/>
      <c r="AG23" s="144" t="n"/>
      <c r="AH23" s="144" t="n"/>
      <c r="AI23" s="144" t="n"/>
      <c r="AJ23" s="144" t="n"/>
      <c r="AK23" s="144" t="n"/>
    </row>
    <row r="24" ht="34.4" customHeight="1">
      <c r="B24" s="139" t="inlineStr">
        <is>
          <t>T-08</t>
        </is>
      </c>
      <c r="C24" s="58" t="inlineStr">
        <is>
          <t>Localization</t>
        </is>
      </c>
      <c r="D24" s="140" t="inlineStr">
        <is>
          <t>Localise packaging and care-card artwork</t>
        </is>
      </c>
      <c r="E24" s="140" t="inlineStr">
        <is>
          <t>Aiko Mori</t>
        </is>
      </c>
      <c r="F24" s="141" t="n">
        <v>46356</v>
      </c>
      <c r="G24" s="141" t="n">
        <v>46395</v>
      </c>
      <c r="H24" s="142">
        <f>NETWORKDAYS(F24,G24)</f>
        <v>30</v>
      </c>
      <c r="I24" s="59" t="inlineStr">
        <is>
          <t>Not started</t>
        </is>
      </c>
      <c r="J24" s="143" t="n">
        <v>0</v>
      </c>
      <c r="L24" s="144" t="n"/>
      <c r="M24" s="144" t="n"/>
      <c r="N24" s="144" t="n"/>
      <c r="O24" s="144" t="n"/>
      <c r="P24" s="144" t="n"/>
      <c r="Q24" s="144" t="n"/>
      <c r="R24" s="144" t="n"/>
      <c r="S24" s="144" t="n"/>
      <c r="T24" s="144" t="n"/>
      <c r="U24" s="144" t="n"/>
      <c r="V24" s="144" t="n"/>
      <c r="W24" s="144" t="n"/>
      <c r="X24" s="144" t="n"/>
      <c r="Y24" s="144" t="n"/>
      <c r="Z24" s="144" t="n"/>
      <c r="AA24" s="144" t="n"/>
      <c r="AB24" s="144" t="n"/>
      <c r="AC24" s="144" t="n"/>
      <c r="AD24" s="144" t="n"/>
      <c r="AE24" s="144" t="n"/>
      <c r="AF24" s="144" t="n"/>
      <c r="AG24" s="144" t="n"/>
      <c r="AH24" s="144" t="n"/>
      <c r="AI24" s="144" t="n"/>
      <c r="AJ24" s="144" t="n"/>
      <c r="AK24" s="144" t="n"/>
    </row>
    <row r="25" ht="22" customHeight="1">
      <c r="B25" s="139" t="inlineStr">
        <is>
          <t>T-09</t>
        </is>
      </c>
      <c r="C25" s="58" t="inlineStr">
        <is>
          <t>Marketing</t>
        </is>
      </c>
      <c r="D25" s="140" t="inlineStr">
        <is>
          <t>Campaign concept and photography</t>
        </is>
      </c>
      <c r="E25" s="140" t="inlineStr">
        <is>
          <t>Lena Brandt</t>
        </is>
      </c>
      <c r="F25" s="141" t="n">
        <v>46300</v>
      </c>
      <c r="G25" s="141" t="n">
        <v>46339</v>
      </c>
      <c r="H25" s="142">
        <f>NETWORKDAYS(F25,G25)</f>
        <v>30</v>
      </c>
      <c r="I25" s="59" t="inlineStr">
        <is>
          <t>At risk</t>
        </is>
      </c>
      <c r="J25" s="143" t="n">
        <v>0.4</v>
      </c>
      <c r="L25" s="144" t="n"/>
      <c r="M25" s="144" t="n"/>
      <c r="N25" s="144" t="n"/>
      <c r="O25" s="144" t="n"/>
      <c r="P25" s="144" t="n"/>
      <c r="Q25" s="144" t="n"/>
      <c r="R25" s="144" t="n"/>
      <c r="S25" s="144" t="n"/>
      <c r="T25" s="144" t="n"/>
      <c r="U25" s="144" t="n"/>
      <c r="V25" s="144" t="n"/>
      <c r="W25" s="144" t="n"/>
      <c r="X25" s="144" t="n"/>
      <c r="Y25" s="144" t="n"/>
      <c r="Z25" s="144" t="n"/>
      <c r="AA25" s="144" t="n"/>
      <c r="AB25" s="144" t="n"/>
      <c r="AC25" s="144" t="n"/>
      <c r="AD25" s="144" t="n"/>
      <c r="AE25" s="144" t="n"/>
      <c r="AF25" s="144" t="n"/>
      <c r="AG25" s="144" t="n"/>
      <c r="AH25" s="144" t="n"/>
      <c r="AI25" s="144" t="n"/>
      <c r="AJ25" s="144" t="n"/>
      <c r="AK25" s="144" t="n"/>
    </row>
    <row r="26" ht="34.4" customHeight="1">
      <c r="B26" s="139" t="inlineStr">
        <is>
          <t>T-10</t>
        </is>
      </c>
      <c r="C26" s="58" t="inlineStr">
        <is>
          <t>Marketing</t>
        </is>
      </c>
      <c r="D26" s="140" t="inlineStr">
        <is>
          <t>Retailer launch kit and sell-in presentation</t>
        </is>
      </c>
      <c r="E26" s="140" t="inlineStr">
        <is>
          <t>Lena Brandt</t>
        </is>
      </c>
      <c r="F26" s="141" t="n">
        <v>46342</v>
      </c>
      <c r="G26" s="141" t="n">
        <v>46374</v>
      </c>
      <c r="H26" s="142">
        <f>NETWORKDAYS(F26,G26)</f>
        <v>25</v>
      </c>
      <c r="I26" s="59" t="inlineStr">
        <is>
          <t>Not started</t>
        </is>
      </c>
      <c r="J26" s="143" t="n">
        <v>0</v>
      </c>
      <c r="L26" s="144" t="n"/>
      <c r="M26" s="144" t="n"/>
      <c r="N26" s="144" t="n"/>
      <c r="O26" s="144" t="n"/>
      <c r="P26" s="144" t="n"/>
      <c r="Q26" s="144" t="n"/>
      <c r="R26" s="144" t="n"/>
      <c r="S26" s="144" t="n"/>
      <c r="T26" s="144" t="n"/>
      <c r="U26" s="144" t="n"/>
      <c r="V26" s="144" t="n"/>
      <c r="W26" s="144" t="n"/>
      <c r="X26" s="144" t="n"/>
      <c r="Y26" s="144" t="n"/>
      <c r="Z26" s="144" t="n"/>
      <c r="AA26" s="144" t="n"/>
      <c r="AB26" s="144" t="n"/>
      <c r="AC26" s="144" t="n"/>
      <c r="AD26" s="144" t="n"/>
      <c r="AE26" s="144" t="n"/>
      <c r="AF26" s="144" t="n"/>
      <c r="AG26" s="144" t="n"/>
      <c r="AH26" s="144" t="n"/>
      <c r="AI26" s="144" t="n"/>
      <c r="AJ26" s="144" t="n"/>
      <c r="AK26" s="144" t="n"/>
    </row>
    <row r="27" ht="34.4" customHeight="1">
      <c r="B27" s="139" t="inlineStr">
        <is>
          <t>T-11</t>
        </is>
      </c>
      <c r="C27" s="58" t="inlineStr">
        <is>
          <t>Sales</t>
        </is>
      </c>
      <c r="D27" s="140" t="inlineStr">
        <is>
          <t>Secure wholesale pre-orders with key accounts</t>
        </is>
      </c>
      <c r="E27" s="140" t="inlineStr">
        <is>
          <t>Marcus Hale</t>
        </is>
      </c>
      <c r="F27" s="141" t="n">
        <v>46363</v>
      </c>
      <c r="G27" s="141" t="n">
        <v>46416</v>
      </c>
      <c r="H27" s="142">
        <f>NETWORKDAYS(F27,G27)</f>
        <v>40</v>
      </c>
      <c r="I27" s="59" t="inlineStr">
        <is>
          <t>Not started</t>
        </is>
      </c>
      <c r="J27" s="143" t="n">
        <v>0</v>
      </c>
      <c r="L27" s="144" t="n"/>
      <c r="M27" s="144" t="n"/>
      <c r="N27" s="144" t="n"/>
      <c r="O27" s="144" t="n"/>
      <c r="P27" s="144" t="n"/>
      <c r="Q27" s="144" t="n"/>
      <c r="R27" s="144" t="n"/>
      <c r="S27" s="144" t="n"/>
      <c r="T27" s="144" t="n"/>
      <c r="U27" s="144" t="n"/>
      <c r="V27" s="144" t="n"/>
      <c r="W27" s="144" t="n"/>
      <c r="X27" s="144" t="n"/>
      <c r="Y27" s="144" t="n"/>
      <c r="Z27" s="144" t="n"/>
      <c r="AA27" s="144" t="n"/>
      <c r="AB27" s="144" t="n"/>
      <c r="AC27" s="144" t="n"/>
      <c r="AD27" s="144" t="n"/>
      <c r="AE27" s="144" t="n"/>
      <c r="AF27" s="144" t="n"/>
      <c r="AG27" s="144" t="n"/>
      <c r="AH27" s="144" t="n"/>
      <c r="AI27" s="144" t="n"/>
      <c r="AJ27" s="144" t="n"/>
      <c r="AK27" s="144" t="n"/>
    </row>
    <row r="28" ht="34.4" customHeight="1">
      <c r="B28" s="139" t="inlineStr">
        <is>
          <t>T-12</t>
        </is>
      </c>
      <c r="C28" s="58" t="inlineStr">
        <is>
          <t>E-commerce</t>
        </is>
      </c>
      <c r="D28" s="140" t="inlineStr">
        <is>
          <t>Build the Japanese e-commerce storefront</t>
        </is>
      </c>
      <c r="E28" s="140" t="inlineStr">
        <is>
          <t>Daniel Okafor</t>
        </is>
      </c>
      <c r="F28" s="141" t="n">
        <v>46314</v>
      </c>
      <c r="G28" s="141" t="n">
        <v>46416</v>
      </c>
      <c r="H28" s="142">
        <f>NETWORKDAYS(F28,G28)</f>
        <v>75</v>
      </c>
      <c r="I28" s="59" t="inlineStr">
        <is>
          <t>In progress</t>
        </is>
      </c>
      <c r="J28" s="143" t="n">
        <v>0.1</v>
      </c>
      <c r="L28" s="144" t="n"/>
      <c r="M28" s="144" t="n"/>
      <c r="N28" s="144" t="n"/>
      <c r="O28" s="144" t="n"/>
      <c r="P28" s="144" t="n"/>
      <c r="Q28" s="144" t="n"/>
      <c r="R28" s="144" t="n"/>
      <c r="S28" s="144" t="n"/>
      <c r="T28" s="144" t="n"/>
      <c r="U28" s="144" t="n"/>
      <c r="V28" s="144" t="n"/>
      <c r="W28" s="144" t="n"/>
      <c r="X28" s="144" t="n"/>
      <c r="Y28" s="144" t="n"/>
      <c r="Z28" s="144" t="n"/>
      <c r="AA28" s="144" t="n"/>
      <c r="AB28" s="144" t="n"/>
      <c r="AC28" s="144" t="n"/>
      <c r="AD28" s="144" t="n"/>
      <c r="AE28" s="144" t="n"/>
      <c r="AF28" s="144" t="n"/>
      <c r="AG28" s="144" t="n"/>
      <c r="AH28" s="144" t="n"/>
      <c r="AI28" s="144" t="n"/>
      <c r="AJ28" s="144" t="n"/>
      <c r="AK28" s="144" t="n"/>
    </row>
    <row r="29" ht="34.4" customHeight="1">
      <c r="B29" s="139" t="inlineStr">
        <is>
          <t>T-13</t>
        </is>
      </c>
      <c r="C29" s="58" t="inlineStr">
        <is>
          <t>E-commerce</t>
        </is>
      </c>
      <c r="D29" s="140" t="inlineStr">
        <is>
          <t>Load product data and imagery into the PIM</t>
        </is>
      </c>
      <c r="E29" s="140" t="inlineStr">
        <is>
          <t>Daniel Okafor</t>
        </is>
      </c>
      <c r="F29" s="141" t="n">
        <v>46370</v>
      </c>
      <c r="G29" s="141" t="n">
        <v>46409</v>
      </c>
      <c r="H29" s="142">
        <f>NETWORKDAYS(F29,G29)</f>
        <v>30</v>
      </c>
      <c r="I29" s="59" t="inlineStr">
        <is>
          <t>Not started</t>
        </is>
      </c>
      <c r="J29" s="143" t="n">
        <v>0</v>
      </c>
      <c r="L29" s="144" t="n"/>
      <c r="M29" s="144" t="n"/>
      <c r="N29" s="144" t="n"/>
      <c r="O29" s="144" t="n"/>
      <c r="P29" s="144" t="n"/>
      <c r="Q29" s="144" t="n"/>
      <c r="R29" s="144" t="n"/>
      <c r="S29" s="144" t="n"/>
      <c r="T29" s="144" t="n"/>
      <c r="U29" s="144" t="n"/>
      <c r="V29" s="144" t="n"/>
      <c r="W29" s="144" t="n"/>
      <c r="X29" s="144" t="n"/>
      <c r="Y29" s="144" t="n"/>
      <c r="Z29" s="144" t="n"/>
      <c r="AA29" s="144" t="n"/>
      <c r="AB29" s="144" t="n"/>
      <c r="AC29" s="144" t="n"/>
      <c r="AD29" s="144" t="n"/>
      <c r="AE29" s="144" t="n"/>
      <c r="AF29" s="144" t="n"/>
      <c r="AG29" s="144" t="n"/>
      <c r="AH29" s="144" t="n"/>
      <c r="AI29" s="144" t="n"/>
      <c r="AJ29" s="144" t="n"/>
      <c r="AK29" s="144" t="n"/>
    </row>
    <row r="30" ht="22" customHeight="1">
      <c r="B30" s="139" t="inlineStr">
        <is>
          <t>T-14</t>
        </is>
      </c>
      <c r="C30" s="58" t="inlineStr">
        <is>
          <t>Logistics</t>
        </is>
      </c>
      <c r="D30" s="140" t="inlineStr">
        <is>
          <t>Retailer EDI and labelling set-up</t>
        </is>
      </c>
      <c r="E30" s="140" t="inlineStr">
        <is>
          <t>Jonas Weber</t>
        </is>
      </c>
      <c r="F30" s="141" t="n">
        <v>46391</v>
      </c>
      <c r="G30" s="141" t="n">
        <v>46423</v>
      </c>
      <c r="H30" s="142">
        <f>NETWORKDAYS(F30,G30)</f>
        <v>25</v>
      </c>
      <c r="I30" s="59" t="inlineStr">
        <is>
          <t>Not started</t>
        </is>
      </c>
      <c r="J30" s="143" t="n">
        <v>0</v>
      </c>
      <c r="L30" s="144" t="n"/>
      <c r="M30" s="144" t="n"/>
      <c r="N30" s="144" t="n"/>
      <c r="O30" s="144" t="n"/>
      <c r="P30" s="144" t="n"/>
      <c r="Q30" s="144" t="n"/>
      <c r="R30" s="144" t="n"/>
      <c r="S30" s="144" t="n"/>
      <c r="T30" s="144" t="n"/>
      <c r="U30" s="144" t="n"/>
      <c r="V30" s="144" t="n"/>
      <c r="W30" s="144" t="n"/>
      <c r="X30" s="144" t="n"/>
      <c r="Y30" s="144" t="n"/>
      <c r="Z30" s="144" t="n"/>
      <c r="AA30" s="144" t="n"/>
      <c r="AB30" s="144" t="n"/>
      <c r="AC30" s="144" t="n"/>
      <c r="AD30" s="144" t="n"/>
      <c r="AE30" s="144" t="n"/>
      <c r="AF30" s="144" t="n"/>
      <c r="AG30" s="144" t="n"/>
      <c r="AH30" s="144" t="n"/>
      <c r="AI30" s="144" t="n"/>
      <c r="AJ30" s="144" t="n"/>
      <c r="AK30" s="144" t="n"/>
    </row>
    <row r="31" ht="22" customHeight="1">
      <c r="B31" s="145" t="inlineStr">
        <is>
          <t>M-2</t>
        </is>
      </c>
      <c r="C31" s="145" t="inlineStr">
        <is>
          <t>Milestone</t>
        </is>
      </c>
      <c r="D31" s="146" t="inlineStr">
        <is>
          <t>Stock available in all DCs</t>
        </is>
      </c>
      <c r="E31" s="146" t="inlineStr">
        <is>
          <t>Tom Ashby</t>
        </is>
      </c>
      <c r="F31" s="147" t="n">
        <v>46430</v>
      </c>
      <c r="G31" s="147" t="n">
        <v>46430</v>
      </c>
      <c r="H31" s="148">
        <f>NETWORKDAYS(F31,G31)</f>
        <v>1</v>
      </c>
      <c r="I31" s="149" t="inlineStr">
        <is>
          <t>Not started</t>
        </is>
      </c>
      <c r="J31" s="150" t="n">
        <v>0</v>
      </c>
      <c r="L31" s="151">
        <f>IF(AND(L$15&lt;=$G31,L$15+6&gt;=$F31),"◆","")</f>
      </c>
      <c r="M31" s="151">
        <f>IF(AND(M$15&lt;=$G31,M$15+6&gt;=$F31),"◆","")</f>
      </c>
      <c r="N31" s="151">
        <f>IF(AND(N$15&lt;=$G31,N$15+6&gt;=$F31),"◆","")</f>
      </c>
      <c r="O31" s="151">
        <f>IF(AND(O$15&lt;=$G31,O$15+6&gt;=$F31),"◆","")</f>
      </c>
      <c r="P31" s="151">
        <f>IF(AND(P$15&lt;=$G31,P$15+6&gt;=$F31),"◆","")</f>
      </c>
      <c r="Q31" s="151">
        <f>IF(AND(Q$15&lt;=$G31,Q$15+6&gt;=$F31),"◆","")</f>
      </c>
      <c r="R31" s="151">
        <f>IF(AND(R$15&lt;=$G31,R$15+6&gt;=$F31),"◆","")</f>
      </c>
      <c r="S31" s="151">
        <f>IF(AND(S$15&lt;=$G31,S$15+6&gt;=$F31),"◆","")</f>
      </c>
      <c r="T31" s="151">
        <f>IF(AND(T$15&lt;=$G31,T$15+6&gt;=$F31),"◆","")</f>
      </c>
      <c r="U31" s="151">
        <f>IF(AND(U$15&lt;=$G31,U$15+6&gt;=$F31),"◆","")</f>
      </c>
      <c r="V31" s="151">
        <f>IF(AND(V$15&lt;=$G31,V$15+6&gt;=$F31),"◆","")</f>
      </c>
      <c r="W31" s="151">
        <f>IF(AND(W$15&lt;=$G31,W$15+6&gt;=$F31),"◆","")</f>
      </c>
      <c r="X31" s="151">
        <f>IF(AND(X$15&lt;=$G31,X$15+6&gt;=$F31),"◆","")</f>
      </c>
      <c r="Y31" s="151">
        <f>IF(AND(Y$15&lt;=$G31,Y$15+6&gt;=$F31),"◆","")</f>
      </c>
      <c r="Z31" s="151">
        <f>IF(AND(Z$15&lt;=$G31,Z$15+6&gt;=$F31),"◆","")</f>
      </c>
      <c r="AA31" s="151">
        <f>IF(AND(AA$15&lt;=$G31,AA$15+6&gt;=$F31),"◆","")</f>
      </c>
      <c r="AB31" s="151">
        <f>IF(AND(AB$15&lt;=$G31,AB$15+6&gt;=$F31),"◆","")</f>
      </c>
      <c r="AC31" s="151">
        <f>IF(AND(AC$15&lt;=$G31,AC$15+6&gt;=$F31),"◆","")</f>
      </c>
      <c r="AD31" s="151">
        <f>IF(AND(AD$15&lt;=$G31,AD$15+6&gt;=$F31),"◆","")</f>
      </c>
      <c r="AE31" s="151">
        <f>IF(AND(AE$15&lt;=$G31,AE$15+6&gt;=$F31),"◆","")</f>
      </c>
      <c r="AF31" s="151">
        <f>IF(AND(AF$15&lt;=$G31,AF$15+6&gt;=$F31),"◆","")</f>
      </c>
      <c r="AG31" s="151">
        <f>IF(AND(AG$15&lt;=$G31,AG$15+6&gt;=$F31),"◆","")</f>
      </c>
      <c r="AH31" s="151" t="str">
        <f>IF(AND(AH$15&lt;=$G31,AH$15+6&gt;=$F31),"◆","")</f>
        <v>◆</v>
      </c>
      <c r="AI31" s="151">
        <f>IF(AND(AI$15&lt;=$G31,AI$15+6&gt;=$F31),"◆","")</f>
      </c>
      <c r="AJ31" s="151">
        <f>IF(AND(AJ$15&lt;=$G31,AJ$15+6&gt;=$F31),"◆","")</f>
      </c>
      <c r="AK31" s="151">
        <f>IF(AND(AK$15&lt;=$G31,AK$15+6&gt;=$F31),"◆","")</f>
      </c>
    </row>
    <row r="32" ht="22" customHeight="1">
      <c r="B32" s="139" t="inlineStr">
        <is>
          <t>T-15</t>
        </is>
      </c>
      <c r="C32" s="58" t="inlineStr">
        <is>
          <t>Programme</t>
        </is>
      </c>
      <c r="D32" s="140" t="inlineStr">
        <is>
          <t>Launch readiness review (go/no-go)</t>
        </is>
      </c>
      <c r="E32" s="140" t="inlineStr">
        <is>
          <t>Freja Lindqvist</t>
        </is>
      </c>
      <c r="F32" s="141" t="n">
        <v>46433</v>
      </c>
      <c r="G32" s="141" t="n">
        <v>46437</v>
      </c>
      <c r="H32" s="142">
        <f>NETWORKDAYS(F32,G32)</f>
        <v>5</v>
      </c>
      <c r="I32" s="59" t="inlineStr">
        <is>
          <t>Not started</t>
        </is>
      </c>
      <c r="J32" s="143" t="n">
        <v>0</v>
      </c>
      <c r="L32" s="144" t="n"/>
      <c r="M32" s="144" t="n"/>
      <c r="N32" s="144" t="n"/>
      <c r="O32" s="144" t="n"/>
      <c r="P32" s="144" t="n"/>
      <c r="Q32" s="144" t="n"/>
      <c r="R32" s="144" t="n"/>
      <c r="S32" s="144" t="n"/>
      <c r="T32" s="144" t="n"/>
      <c r="U32" s="144" t="n"/>
      <c r="V32" s="144" t="n"/>
      <c r="W32" s="144" t="n"/>
      <c r="X32" s="144" t="n"/>
      <c r="Y32" s="144" t="n"/>
      <c r="Z32" s="144" t="n"/>
      <c r="AA32" s="144" t="n"/>
      <c r="AB32" s="144" t="n"/>
      <c r="AC32" s="144" t="n"/>
      <c r="AD32" s="144" t="n"/>
      <c r="AE32" s="144" t="n"/>
      <c r="AF32" s="144" t="n"/>
      <c r="AG32" s="144" t="n"/>
      <c r="AH32" s="144" t="n"/>
      <c r="AI32" s="144" t="n"/>
      <c r="AJ32" s="144" t="n"/>
      <c r="AK32" s="144" t="n"/>
    </row>
    <row r="33" ht="34.4" customHeight="1">
      <c r="B33" s="145" t="inlineStr">
        <is>
          <t>M-3</t>
        </is>
      </c>
      <c r="C33" s="145" t="inlineStr">
        <is>
          <t>Milestone</t>
        </is>
      </c>
      <c r="D33" s="146" t="inlineStr">
        <is>
          <t>Coastline launch in all markets</t>
        </is>
      </c>
      <c r="E33" s="146" t="inlineStr">
        <is>
          <t>Steering committee</t>
        </is>
      </c>
      <c r="F33" s="147" t="n">
        <v>46447</v>
      </c>
      <c r="G33" s="147" t="n">
        <v>46447</v>
      </c>
      <c r="H33" s="148">
        <f>NETWORKDAYS(F33,G33)</f>
        <v>1</v>
      </c>
      <c r="I33" s="149" t="inlineStr">
        <is>
          <t>Not started</t>
        </is>
      </c>
      <c r="J33" s="150" t="n">
        <v>0</v>
      </c>
      <c r="L33" s="151">
        <f>IF(AND(L$15&lt;=$G33,L$15+6&gt;=$F33),"◆","")</f>
      </c>
      <c r="M33" s="151">
        <f>IF(AND(M$15&lt;=$G33,M$15+6&gt;=$F33),"◆","")</f>
      </c>
      <c r="N33" s="151">
        <f>IF(AND(N$15&lt;=$G33,N$15+6&gt;=$F33),"◆","")</f>
      </c>
      <c r="O33" s="151">
        <f>IF(AND(O$15&lt;=$G33,O$15+6&gt;=$F33),"◆","")</f>
      </c>
      <c r="P33" s="151">
        <f>IF(AND(P$15&lt;=$G33,P$15+6&gt;=$F33),"◆","")</f>
      </c>
      <c r="Q33" s="151">
        <f>IF(AND(Q$15&lt;=$G33,Q$15+6&gt;=$F33),"◆","")</f>
      </c>
      <c r="R33" s="151">
        <f>IF(AND(R$15&lt;=$G33,R$15+6&gt;=$F33),"◆","")</f>
      </c>
      <c r="S33" s="151">
        <f>IF(AND(S$15&lt;=$G33,S$15+6&gt;=$F33),"◆","")</f>
      </c>
      <c r="T33" s="151">
        <f>IF(AND(T$15&lt;=$G33,T$15+6&gt;=$F33),"◆","")</f>
      </c>
      <c r="U33" s="151">
        <f>IF(AND(U$15&lt;=$G33,U$15+6&gt;=$F33),"◆","")</f>
      </c>
      <c r="V33" s="151">
        <f>IF(AND(V$15&lt;=$G33,V$15+6&gt;=$F33),"◆","")</f>
      </c>
      <c r="W33" s="151">
        <f>IF(AND(W$15&lt;=$G33,W$15+6&gt;=$F33),"◆","")</f>
      </c>
      <c r="X33" s="151">
        <f>IF(AND(X$15&lt;=$G33,X$15+6&gt;=$F33),"◆","")</f>
      </c>
      <c r="Y33" s="151">
        <f>IF(AND(Y$15&lt;=$G33,Y$15+6&gt;=$F33),"◆","")</f>
      </c>
      <c r="Z33" s="151">
        <f>IF(AND(Z$15&lt;=$G33,Z$15+6&gt;=$F33),"◆","")</f>
      </c>
      <c r="AA33" s="151">
        <f>IF(AND(AA$15&lt;=$G33,AA$15+6&gt;=$F33),"◆","")</f>
      </c>
      <c r="AB33" s="151">
        <f>IF(AND(AB$15&lt;=$G33,AB$15+6&gt;=$F33),"◆","")</f>
      </c>
      <c r="AC33" s="151">
        <f>IF(AND(AC$15&lt;=$G33,AC$15+6&gt;=$F33),"◆","")</f>
      </c>
      <c r="AD33" s="151">
        <f>IF(AND(AD$15&lt;=$G33,AD$15+6&gt;=$F33),"◆","")</f>
      </c>
      <c r="AE33" s="151">
        <f>IF(AND(AE$15&lt;=$G33,AE$15+6&gt;=$F33),"◆","")</f>
      </c>
      <c r="AF33" s="151">
        <f>IF(AND(AF$15&lt;=$G33,AF$15+6&gt;=$F33),"◆","")</f>
      </c>
      <c r="AG33" s="151">
        <f>IF(AND(AG$15&lt;=$G33,AG$15+6&gt;=$F33),"◆","")</f>
      </c>
      <c r="AH33" s="151">
        <f>IF(AND(AH$15&lt;=$G33,AH$15+6&gt;=$F33),"◆","")</f>
      </c>
      <c r="AI33" s="151">
        <f>IF(AND(AI$15&lt;=$G33,AI$15+6&gt;=$F33),"◆","")</f>
      </c>
      <c r="AJ33" s="151">
        <f>IF(AND(AJ$15&lt;=$G33,AJ$15+6&gt;=$F33),"◆","")</f>
      </c>
      <c r="AK33" s="151" t="str">
        <f>IF(AND(AK$15&lt;=$G33,AK$15+6&gt;=$F33),"◆","")</f>
        <v>◆</v>
      </c>
    </row>
    <row r="34" ht="14" customHeight="1"/>
    <row r="35" ht="26" customHeight="1">
      <c r="B35" s="21" t="inlineStr">
        <is>
          <t>Task scope and acceptance criteria</t>
        </is>
      </c>
      <c r="C35" s="22" t="n"/>
      <c r="D35" s="22" t="n"/>
      <c r="E35" s="22" t="n"/>
      <c r="F35" s="22" t="n"/>
      <c r="G35" s="22" t="n"/>
      <c r="H35" s="22" t="n"/>
      <c r="I35" s="22" t="n"/>
      <c r="J35" s="22" t="n"/>
      <c r="K35" s="22" t="n"/>
      <c r="L35" s="22" t="n"/>
      <c r="M35" s="22" t="n"/>
      <c r="N35" s="22" t="n"/>
      <c r="O35" s="22" t="n"/>
      <c r="P35" s="22" t="n"/>
      <c r="Q35" s="22" t="n"/>
      <c r="R35" s="22" t="n"/>
      <c r="S35" s="22" t="n"/>
      <c r="T35" s="22" t="n"/>
      <c r="U35" s="22" t="n"/>
      <c r="V35" s="22" t="n"/>
      <c r="W35" s="22" t="n"/>
      <c r="X35" s="22" t="n"/>
      <c r="Y35" s="22" t="n"/>
      <c r="Z35" s="22" t="n"/>
      <c r="AA35" s="22" t="n"/>
      <c r="AB35" s="22" t="n"/>
      <c r="AC35" s="22" t="n"/>
      <c r="AD35" s="22" t="n"/>
      <c r="AE35" s="22" t="n"/>
      <c r="AF35" s="22" t="n"/>
      <c r="AG35" s="22" t="n"/>
      <c r="AH35" s="22" t="n"/>
      <c r="AI35" s="22" t="n"/>
      <c r="AJ35" s="22" t="n"/>
      <c r="AK35" s="22" t="n"/>
    </row>
    <row r="36" ht="24" customHeight="1">
      <c r="B36" s="23" t="inlineStr">
        <is>
          <t>ID</t>
        </is>
      </c>
      <c r="C36" s="23" t="inlineStr">
        <is>
          <t>Task</t>
        </is>
      </c>
      <c r="E36" s="23" t="inlineStr">
        <is>
          <t>Scope and approach</t>
        </is>
      </c>
      <c r="L36" s="23" t="inlineStr">
        <is>
          <t>Acceptance criteria</t>
        </is>
      </c>
    </row>
    <row r="37" ht="49.6" customHeight="1">
      <c r="B37" s="152" t="str">
        <f>B16</f>
        <v>T-01</v>
      </c>
      <c r="C37" s="153" t="str">
        <f>D16</f>
        <v>Finalise Coastline range and costed bills of materials</v>
      </c>
      <c r="D37" s="31" t="n"/>
      <c r="E37" s="71" t="inlineStr">
        <is>
          <t>Confirm the nine-SKU Coastline range (lighting, textiles and tableware), lock materials and colourways, and agree landed-cost targets with suppliers.</t>
        </is>
      </c>
      <c r="F37" s="31" t="n"/>
      <c r="G37" s="31" t="n"/>
      <c r="H37" s="31" t="n"/>
      <c r="I37" s="31" t="n"/>
      <c r="J37" s="31" t="n"/>
      <c r="K37" s="154" t="n"/>
      <c r="L37" s="71" t="inlineStr">
        <is>
          <t>Range signed off by the product committee; every SKU has a costed bill of materials within 3% of its target landed cost.</t>
        </is>
      </c>
      <c r="M37" s="31" t="n"/>
      <c r="N37" s="31" t="n"/>
      <c r="O37" s="31" t="n"/>
      <c r="P37" s="31" t="n"/>
      <c r="Q37" s="31" t="n"/>
      <c r="R37" s="31" t="n"/>
      <c r="S37" s="31" t="n"/>
      <c r="T37" s="31" t="n"/>
      <c r="U37" s="31" t="n"/>
      <c r="V37" s="31" t="n"/>
      <c r="W37" s="31" t="n"/>
      <c r="X37" s="31" t="n"/>
      <c r="Y37" s="31" t="n"/>
      <c r="Z37" s="31" t="n"/>
      <c r="AA37" s="31" t="n"/>
      <c r="AB37" s="31" t="n"/>
      <c r="AC37" s="31" t="n"/>
      <c r="AD37" s="31" t="n"/>
      <c r="AE37" s="31" t="n"/>
      <c r="AF37" s="31" t="n"/>
      <c r="AG37" s="31" t="n"/>
      <c r="AH37" s="31" t="n"/>
      <c r="AI37" s="31" t="n"/>
      <c r="AJ37" s="31" t="n"/>
      <c r="AK37" s="31" t="n"/>
    </row>
    <row r="38" ht="49.6" customHeight="1">
      <c r="B38" s="155" t="str">
        <f>B17</f>
        <v>T-02</v>
      </c>
      <c r="C38" s="156" t="str">
        <f>D17</f>
        <v>Approve pre-production samples</v>
      </c>
      <c r="D38" s="31" t="n"/>
      <c r="E38" s="73" t="inlineStr">
        <is>
          <t>Review pre-production samples from three suppliers for finish, colour consistency and packaging. Raise corrective actions where needed.</t>
        </is>
      </c>
      <c r="F38" s="31" t="n"/>
      <c r="G38" s="31" t="n"/>
      <c r="H38" s="31" t="n"/>
      <c r="I38" s="31" t="n"/>
      <c r="J38" s="31" t="n"/>
      <c r="K38" s="157" t="n"/>
      <c r="L38" s="73" t="inlineStr">
        <is>
          <t>Golden samples sealed and stored at head office and at each factory; no open critical defects.</t>
        </is>
      </c>
      <c r="M38" s="31" t="n"/>
      <c r="N38" s="31" t="n"/>
      <c r="O38" s="31" t="n"/>
      <c r="P38" s="31" t="n"/>
      <c r="Q38" s="31" t="n"/>
      <c r="R38" s="31" t="n"/>
      <c r="S38" s="31" t="n"/>
      <c r="T38" s="31" t="n"/>
      <c r="U38" s="31" t="n"/>
      <c r="V38" s="31" t="n"/>
      <c r="W38" s="31" t="n"/>
      <c r="X38" s="31" t="n"/>
      <c r="Y38" s="31" t="n"/>
      <c r="Z38" s="31" t="n"/>
      <c r="AA38" s="31" t="n"/>
      <c r="AB38" s="31" t="n"/>
      <c r="AC38" s="31" t="n"/>
      <c r="AD38" s="31" t="n"/>
      <c r="AE38" s="31" t="n"/>
      <c r="AF38" s="31" t="n"/>
      <c r="AG38" s="31" t="n"/>
      <c r="AH38" s="31" t="n"/>
      <c r="AI38" s="31" t="n"/>
      <c r="AJ38" s="31" t="n"/>
      <c r="AK38" s="31" t="n"/>
    </row>
    <row r="39" ht="49.6" customHeight="1">
      <c r="B39" s="152" t="str">
        <f>B19</f>
        <v>T-03</v>
      </c>
      <c r="C39" s="153" t="str">
        <f>D19</f>
        <v>Electrical certification for lighting (CE, UKCA, UL, PSE)</v>
      </c>
      <c r="D39" s="31" t="n"/>
      <c r="E39" s="71" t="inlineStr">
        <is>
          <t>Submit two lamp models to the accredited test laboratory for EU, UK, US and Japanese certification. PSE testing for Japan has the longest lead time and is on the critical path.</t>
        </is>
      </c>
      <c r="F39" s="31" t="n"/>
      <c r="G39" s="31" t="n"/>
      <c r="H39" s="31" t="n"/>
      <c r="I39" s="31" t="n"/>
      <c r="J39" s="31" t="n"/>
      <c r="K39" s="154" t="n"/>
      <c r="L39" s="71" t="inlineStr">
        <is>
          <t>Certificates issued for all four regions and filed in the compliance library; markings approved on packaging artwork.</t>
        </is>
      </c>
      <c r="M39" s="31" t="n"/>
      <c r="N39" s="31" t="n"/>
      <c r="O39" s="31" t="n"/>
      <c r="P39" s="31" t="n"/>
      <c r="Q39" s="31" t="n"/>
      <c r="R39" s="31" t="n"/>
      <c r="S39" s="31" t="n"/>
      <c r="T39" s="31" t="n"/>
      <c r="U39" s="31" t="n"/>
      <c r="V39" s="31" t="n"/>
      <c r="W39" s="31" t="n"/>
      <c r="X39" s="31" t="n"/>
      <c r="Y39" s="31" t="n"/>
      <c r="Z39" s="31" t="n"/>
      <c r="AA39" s="31" t="n"/>
      <c r="AB39" s="31" t="n"/>
      <c r="AC39" s="31" t="n"/>
      <c r="AD39" s="31" t="n"/>
      <c r="AE39" s="31" t="n"/>
      <c r="AF39" s="31" t="n"/>
      <c r="AG39" s="31" t="n"/>
      <c r="AH39" s="31" t="n"/>
      <c r="AI39" s="31" t="n"/>
      <c r="AJ39" s="31" t="n"/>
      <c r="AK39" s="31" t="n"/>
    </row>
    <row r="40" ht="36.4" customHeight="1">
      <c r="B40" s="155" t="str">
        <f>B20</f>
        <v>T-04</v>
      </c>
      <c r="C40" s="156" t="str">
        <f>D20</f>
        <v>Textile and food-contact testing</v>
      </c>
      <c r="D40" s="31" t="n"/>
      <c r="E40" s="73" t="inlineStr">
        <is>
          <t>OEKO-TEX testing for bed linen and towels; LFGB and FDA food-contact testing for the stoneware serving range.</t>
        </is>
      </c>
      <c r="F40" s="31" t="n"/>
      <c r="G40" s="31" t="n"/>
      <c r="H40" s="31" t="n"/>
      <c r="I40" s="31" t="n"/>
      <c r="J40" s="31" t="n"/>
      <c r="K40" s="157" t="n"/>
      <c r="L40" s="73" t="inlineStr">
        <is>
          <t>Passing test reports for every SKU, with certificate numbers recorded in the product information system (PIM).</t>
        </is>
      </c>
      <c r="M40" s="31" t="n"/>
      <c r="N40" s="31" t="n"/>
      <c r="O40" s="31" t="n"/>
      <c r="P40" s="31" t="n"/>
      <c r="Q40" s="31" t="n"/>
      <c r="R40" s="31" t="n"/>
      <c r="S40" s="31" t="n"/>
      <c r="T40" s="31" t="n"/>
      <c r="U40" s="31" t="n"/>
      <c r="V40" s="31" t="n"/>
      <c r="W40" s="31" t="n"/>
      <c r="X40" s="31" t="n"/>
      <c r="Y40" s="31" t="n"/>
      <c r="Z40" s="31" t="n"/>
      <c r="AA40" s="31" t="n"/>
      <c r="AB40" s="31" t="n"/>
      <c r="AC40" s="31" t="n"/>
      <c r="AD40" s="31" t="n"/>
      <c r="AE40" s="31" t="n"/>
      <c r="AF40" s="31" t="n"/>
      <c r="AG40" s="31" t="n"/>
      <c r="AH40" s="31" t="n"/>
      <c r="AI40" s="31" t="n"/>
      <c r="AJ40" s="31" t="n"/>
      <c r="AK40" s="31" t="n"/>
    </row>
    <row r="41" ht="49.6" customHeight="1">
      <c r="B41" s="152" t="str">
        <f>B21</f>
        <v>T-05</v>
      </c>
      <c r="C41" s="153" t="str">
        <f>D21</f>
        <v>Place initial production orders</v>
      </c>
      <c r="D41" s="31" t="n"/>
      <c r="E41" s="71" t="inlineStr">
        <is>
          <t>Issue purchase orders for launch quantities based on the approved demand plan, including a 10% safety buffer for Japan and Germany.</t>
        </is>
      </c>
      <c r="F41" s="31" t="n"/>
      <c r="G41" s="31" t="n"/>
      <c r="H41" s="31" t="n"/>
      <c r="I41" s="31" t="n"/>
      <c r="J41" s="31" t="n"/>
      <c r="K41" s="154" t="n"/>
      <c r="L41" s="71" t="inlineStr">
        <is>
          <t>All suppliers have confirmed their purchase orders, with ex-works dates no later than 15 January 2027.</t>
        </is>
      </c>
      <c r="M41" s="31" t="n"/>
      <c r="N41" s="31" t="n"/>
      <c r="O41" s="31" t="n"/>
      <c r="P41" s="31" t="n"/>
      <c r="Q41" s="31" t="n"/>
      <c r="R41" s="31" t="n"/>
      <c r="S41" s="31" t="n"/>
      <c r="T41" s="31" t="n"/>
      <c r="U41" s="31" t="n"/>
      <c r="V41" s="31" t="n"/>
      <c r="W41" s="31" t="n"/>
      <c r="X41" s="31" t="n"/>
      <c r="Y41" s="31" t="n"/>
      <c r="Z41" s="31" t="n"/>
      <c r="AA41" s="31" t="n"/>
      <c r="AB41" s="31" t="n"/>
      <c r="AC41" s="31" t="n"/>
      <c r="AD41" s="31" t="n"/>
      <c r="AE41" s="31" t="n"/>
      <c r="AF41" s="31" t="n"/>
      <c r="AG41" s="31" t="n"/>
      <c r="AH41" s="31" t="n"/>
      <c r="AI41" s="31" t="n"/>
      <c r="AJ41" s="31" t="n"/>
      <c r="AK41" s="31" t="n"/>
    </row>
    <row r="42" ht="49.6" customHeight="1">
      <c r="B42" s="155" t="str">
        <f>B22</f>
        <v>T-06</v>
      </c>
      <c r="C42" s="156" t="str">
        <f>D22</f>
        <v>Inbound freight and DC allocation</v>
      </c>
      <c r="D42" s="31" t="n"/>
      <c r="E42" s="73" t="inlineStr">
        <is>
          <t>Book ocean freight to Rotterdam and Newark, and air freight for the Japan launch allocation. Define the stock split between distribution centres.</t>
        </is>
      </c>
      <c r="F42" s="31" t="n"/>
      <c r="G42" s="31" t="n"/>
      <c r="H42" s="31" t="n"/>
      <c r="I42" s="31" t="n"/>
      <c r="J42" s="31" t="n"/>
      <c r="K42" s="157" t="n"/>
      <c r="L42" s="73" t="inlineStr">
        <is>
          <t>Freight booked against confirmed vessel schedules; stock received and available to sell in all DCs by 12 February 2027.</t>
        </is>
      </c>
      <c r="M42" s="31" t="n"/>
      <c r="N42" s="31" t="n"/>
      <c r="O42" s="31" t="n"/>
      <c r="P42" s="31" t="n"/>
      <c r="Q42" s="31" t="n"/>
      <c r="R42" s="31" t="n"/>
      <c r="S42" s="31" t="n"/>
      <c r="T42" s="31" t="n"/>
      <c r="U42" s="31" t="n"/>
      <c r="V42" s="31" t="n"/>
      <c r="W42" s="31" t="n"/>
      <c r="X42" s="31" t="n"/>
      <c r="Y42" s="31" t="n"/>
      <c r="Z42" s="31" t="n"/>
      <c r="AA42" s="31" t="n"/>
      <c r="AB42" s="31" t="n"/>
      <c r="AC42" s="31" t="n"/>
      <c r="AD42" s="31" t="n"/>
      <c r="AE42" s="31" t="n"/>
      <c r="AF42" s="31" t="n"/>
      <c r="AG42" s="31" t="n"/>
      <c r="AH42" s="31" t="n"/>
      <c r="AI42" s="31" t="n"/>
      <c r="AJ42" s="31" t="n"/>
      <c r="AK42" s="31" t="n"/>
    </row>
    <row r="43" ht="62.8" customHeight="1">
      <c r="B43" s="152" t="str">
        <f>B23</f>
        <v>T-07</v>
      </c>
      <c r="C43" s="153" t="str">
        <f>D23</f>
        <v>Translate product content into German, French, Japanese and Swedish</v>
      </c>
      <c r="D43" s="31" t="n"/>
      <c r="E43" s="71" t="inlineStr">
        <is>
          <t>Translate product names, descriptions, care instructions and size guides for nine SKUs using the approved brand glossary. The content feeds the website, retailer data sheets and printed care cards.</t>
        </is>
      </c>
      <c r="F43" s="31" t="n"/>
      <c r="G43" s="31" t="n"/>
      <c r="H43" s="31" t="n"/>
      <c r="I43" s="31" t="n"/>
      <c r="J43" s="31" t="n"/>
      <c r="K43" s="154" t="n"/>
      <c r="L43" s="71" t="inlineStr">
        <is>
          <t>All content checked by a native in-market reviewer; no open terminology queries; files delivered in the agreed PIM import format.</t>
        </is>
      </c>
      <c r="M43" s="31" t="n"/>
      <c r="N43" s="31" t="n"/>
      <c r="O43" s="31" t="n"/>
      <c r="P43" s="31" t="n"/>
      <c r="Q43" s="31" t="n"/>
      <c r="R43" s="31" t="n"/>
      <c r="S43" s="31" t="n"/>
      <c r="T43" s="31" t="n"/>
      <c r="U43" s="31" t="n"/>
      <c r="V43" s="31" t="n"/>
      <c r="W43" s="31" t="n"/>
      <c r="X43" s="31" t="n"/>
      <c r="Y43" s="31" t="n"/>
      <c r="Z43" s="31" t="n"/>
      <c r="AA43" s="31" t="n"/>
      <c r="AB43" s="31" t="n"/>
      <c r="AC43" s="31" t="n"/>
      <c r="AD43" s="31" t="n"/>
      <c r="AE43" s="31" t="n"/>
      <c r="AF43" s="31" t="n"/>
      <c r="AG43" s="31" t="n"/>
      <c r="AH43" s="31" t="n"/>
      <c r="AI43" s="31" t="n"/>
      <c r="AJ43" s="31" t="n"/>
      <c r="AK43" s="31" t="n"/>
    </row>
    <row r="44" ht="49.6" customHeight="1">
      <c r="B44" s="155" t="str">
        <f>B24</f>
        <v>T-08</v>
      </c>
      <c r="C44" s="156" t="str">
        <f>D24</f>
        <v>Localise packaging and care-card artwork</v>
      </c>
      <c r="D44" s="31" t="n"/>
      <c r="E44" s="73" t="inlineStr">
        <is>
          <t>Apply translated copy to packaging, swing tags and care cards. Japanese care cards use a vertical text layout on the reverse side.</t>
        </is>
      </c>
      <c r="F44" s="31" t="n"/>
      <c r="G44" s="31" t="n"/>
      <c r="H44" s="31" t="n"/>
      <c r="I44" s="31" t="n"/>
      <c r="J44" s="31" t="n"/>
      <c r="K44" s="157" t="n"/>
      <c r="L44" s="73" t="inlineStr">
        <is>
          <t>Print-ready artwork approved by Compliance and by each regional manager; printer proofs signed.</t>
        </is>
      </c>
      <c r="M44" s="31" t="n"/>
      <c r="N44" s="31" t="n"/>
      <c r="O44" s="31" t="n"/>
      <c r="P44" s="31" t="n"/>
      <c r="Q44" s="31" t="n"/>
      <c r="R44" s="31" t="n"/>
      <c r="S44" s="31" t="n"/>
      <c r="T44" s="31" t="n"/>
      <c r="U44" s="31" t="n"/>
      <c r="V44" s="31" t="n"/>
      <c r="W44" s="31" t="n"/>
      <c r="X44" s="31" t="n"/>
      <c r="Y44" s="31" t="n"/>
      <c r="Z44" s="31" t="n"/>
      <c r="AA44" s="31" t="n"/>
      <c r="AB44" s="31" t="n"/>
      <c r="AC44" s="31" t="n"/>
      <c r="AD44" s="31" t="n"/>
      <c r="AE44" s="31" t="n"/>
      <c r="AF44" s="31" t="n"/>
      <c r="AG44" s="31" t="n"/>
      <c r="AH44" s="31" t="n"/>
      <c r="AI44" s="31" t="n"/>
      <c r="AJ44" s="31" t="n"/>
      <c r="AK44" s="31" t="n"/>
    </row>
    <row r="45" ht="49.6" customHeight="1">
      <c r="B45" s="152" t="str">
        <f>B25</f>
        <v>T-09</v>
      </c>
      <c r="C45" s="153" t="str">
        <f>D25</f>
        <v>Campaign concept and photography</v>
      </c>
      <c r="D45" s="31" t="n"/>
      <c r="E45" s="71" t="inlineStr">
        <is>
          <t>Develop the 'Life by the Water' campaign and shoot lifestyle and product imagery on location in Skagen. Storms have delayed the outdoor shoot by two weeks.</t>
        </is>
      </c>
      <c r="F45" s="31" t="n"/>
      <c r="G45" s="31" t="n"/>
      <c r="H45" s="31" t="n"/>
      <c r="I45" s="31" t="n"/>
      <c r="J45" s="31" t="n"/>
      <c r="K45" s="154" t="n"/>
      <c r="L45" s="71" t="inlineStr">
        <is>
          <t>A library of at least 120 retouched images delivered, with usage rights cleared for all channels and markets.</t>
        </is>
      </c>
      <c r="M45" s="31" t="n"/>
      <c r="N45" s="31" t="n"/>
      <c r="O45" s="31" t="n"/>
      <c r="P45" s="31" t="n"/>
      <c r="Q45" s="31" t="n"/>
      <c r="R45" s="31" t="n"/>
      <c r="S45" s="31" t="n"/>
      <c r="T45" s="31" t="n"/>
      <c r="U45" s="31" t="n"/>
      <c r="V45" s="31" t="n"/>
      <c r="W45" s="31" t="n"/>
      <c r="X45" s="31" t="n"/>
      <c r="Y45" s="31" t="n"/>
      <c r="Z45" s="31" t="n"/>
      <c r="AA45" s="31" t="n"/>
      <c r="AB45" s="31" t="n"/>
      <c r="AC45" s="31" t="n"/>
      <c r="AD45" s="31" t="n"/>
      <c r="AE45" s="31" t="n"/>
      <c r="AF45" s="31" t="n"/>
      <c r="AG45" s="31" t="n"/>
      <c r="AH45" s="31" t="n"/>
      <c r="AI45" s="31" t="n"/>
      <c r="AJ45" s="31" t="n"/>
      <c r="AK45" s="31" t="n"/>
    </row>
    <row r="46" ht="36.4" customHeight="1">
      <c r="B46" s="155" t="str">
        <f>B26</f>
        <v>T-10</v>
      </c>
      <c r="C46" s="156" t="str">
        <f>D26</f>
        <v>Retailer launch kit and sell-in presentation</v>
      </c>
      <c r="D46" s="31" t="n"/>
      <c r="E46" s="73" t="inlineStr">
        <is>
          <t>Prepare line sheets, product training guides and a sell-in presentation for wholesale partners in all eight markets.</t>
        </is>
      </c>
      <c r="F46" s="31" t="n"/>
      <c r="G46" s="31" t="n"/>
      <c r="H46" s="31" t="n"/>
      <c r="I46" s="31" t="n"/>
      <c r="J46" s="31" t="n"/>
      <c r="K46" s="157" t="n"/>
      <c r="L46" s="73" t="inlineStr">
        <is>
          <t>Kit published in five languages on the partner portal; feedback collected from at least six key accounts.</t>
        </is>
      </c>
      <c r="M46" s="31" t="n"/>
      <c r="N46" s="31" t="n"/>
      <c r="O46" s="31" t="n"/>
      <c r="P46" s="31" t="n"/>
      <c r="Q46" s="31" t="n"/>
      <c r="R46" s="31" t="n"/>
      <c r="S46" s="31" t="n"/>
      <c r="T46" s="31" t="n"/>
      <c r="U46" s="31" t="n"/>
      <c r="V46" s="31" t="n"/>
      <c r="W46" s="31" t="n"/>
      <c r="X46" s="31" t="n"/>
      <c r="Y46" s="31" t="n"/>
      <c r="Z46" s="31" t="n"/>
      <c r="AA46" s="31" t="n"/>
      <c r="AB46" s="31" t="n"/>
      <c r="AC46" s="31" t="n"/>
      <c r="AD46" s="31" t="n"/>
      <c r="AE46" s="31" t="n"/>
      <c r="AF46" s="31" t="n"/>
      <c r="AG46" s="31" t="n"/>
      <c r="AH46" s="31" t="n"/>
      <c r="AI46" s="31" t="n"/>
      <c r="AJ46" s="31" t="n"/>
      <c r="AK46" s="31" t="n"/>
    </row>
    <row r="47" ht="36.4" customHeight="1">
      <c r="B47" s="152" t="str">
        <f>B27</f>
        <v>T-11</v>
      </c>
      <c r="C47" s="153" t="str">
        <f>D27</f>
        <v>Secure wholesale pre-orders with key accounts</v>
      </c>
      <c r="D47" s="31" t="n"/>
      <c r="E47" s="71" t="inlineStr">
        <is>
          <t>Present the collection to the top 20 wholesale accounts and secure pre-orders for March delivery.</t>
        </is>
      </c>
      <c r="F47" s="31" t="n"/>
      <c r="G47" s="31" t="n"/>
      <c r="H47" s="31" t="n"/>
      <c r="I47" s="31" t="n"/>
      <c r="J47" s="31" t="n"/>
      <c r="K47" s="154" t="n"/>
      <c r="L47" s="71" t="inlineStr">
        <is>
          <t>Pre-orders worth at least USD 650,000 confirmed in writing, with delivery windows agreed.</t>
        </is>
      </c>
      <c r="M47" s="31" t="n"/>
      <c r="N47" s="31" t="n"/>
      <c r="O47" s="31" t="n"/>
      <c r="P47" s="31" t="n"/>
      <c r="Q47" s="31" t="n"/>
      <c r="R47" s="31" t="n"/>
      <c r="S47" s="31" t="n"/>
      <c r="T47" s="31" t="n"/>
      <c r="U47" s="31" t="n"/>
      <c r="V47" s="31" t="n"/>
      <c r="W47" s="31" t="n"/>
      <c r="X47" s="31" t="n"/>
      <c r="Y47" s="31" t="n"/>
      <c r="Z47" s="31" t="n"/>
      <c r="AA47" s="31" t="n"/>
      <c r="AB47" s="31" t="n"/>
      <c r="AC47" s="31" t="n"/>
      <c r="AD47" s="31" t="n"/>
      <c r="AE47" s="31" t="n"/>
      <c r="AF47" s="31" t="n"/>
      <c r="AG47" s="31" t="n"/>
      <c r="AH47" s="31" t="n"/>
      <c r="AI47" s="31" t="n"/>
      <c r="AJ47" s="31" t="n"/>
      <c r="AK47" s="31" t="n"/>
    </row>
    <row r="48" ht="49.6" customHeight="1">
      <c r="B48" s="155" t="str">
        <f>B28</f>
        <v>T-12</v>
      </c>
      <c r="C48" s="156" t="str">
        <f>D28</f>
        <v>Build the Japanese e-commerce storefront</v>
      </c>
      <c r="D48" s="31" t="n"/>
      <c r="E48" s="73" t="inlineStr">
        <is>
          <t>Configure the Japanese storefront on the curated marketplace, including local payment methods, gift-wrapping options and delivery time-slot selection.</t>
        </is>
      </c>
      <c r="F48" s="31" t="n"/>
      <c r="G48" s="31" t="n"/>
      <c r="H48" s="31" t="n"/>
      <c r="I48" s="31" t="n"/>
      <c r="J48" s="31" t="n"/>
      <c r="K48" s="157" t="n"/>
      <c r="L48" s="73" t="inlineStr">
        <is>
          <t>Storefront passes user acceptance testing on desktop and mobile; checkout tested end to end with three payment methods.</t>
        </is>
      </c>
      <c r="M48" s="31" t="n"/>
      <c r="N48" s="31" t="n"/>
      <c r="O48" s="31" t="n"/>
      <c r="P48" s="31" t="n"/>
      <c r="Q48" s="31" t="n"/>
      <c r="R48" s="31" t="n"/>
      <c r="S48" s="31" t="n"/>
      <c r="T48" s="31" t="n"/>
      <c r="U48" s="31" t="n"/>
      <c r="V48" s="31" t="n"/>
      <c r="W48" s="31" t="n"/>
      <c r="X48" s="31" t="n"/>
      <c r="Y48" s="31" t="n"/>
      <c r="Z48" s="31" t="n"/>
      <c r="AA48" s="31" t="n"/>
      <c r="AB48" s="31" t="n"/>
      <c r="AC48" s="31" t="n"/>
      <c r="AD48" s="31" t="n"/>
      <c r="AE48" s="31" t="n"/>
      <c r="AF48" s="31" t="n"/>
      <c r="AG48" s="31" t="n"/>
      <c r="AH48" s="31" t="n"/>
      <c r="AI48" s="31" t="n"/>
      <c r="AJ48" s="31" t="n"/>
      <c r="AK48" s="31" t="n"/>
    </row>
    <row r="49" ht="36.4" customHeight="1">
      <c r="B49" s="152" t="str">
        <f>B29</f>
        <v>T-13</v>
      </c>
      <c r="C49" s="153" t="str">
        <f>D29</f>
        <v>Load product data and imagery into the PIM</v>
      </c>
      <c r="D49" s="31" t="n"/>
      <c r="E49" s="71" t="inlineStr">
        <is>
          <t>Import translated content and images into the PIM and syndicate them to the website and retailer data feeds.</t>
        </is>
      </c>
      <c r="F49" s="31" t="n"/>
      <c r="G49" s="31" t="n"/>
      <c r="H49" s="31" t="n"/>
      <c r="I49" s="31" t="n"/>
      <c r="J49" s="31" t="n"/>
      <c r="K49" s="154" t="n"/>
      <c r="L49" s="71" t="inlineStr">
        <is>
          <t>All SKUs complete in every language; data-quality score above 95% on the PIM dashboard.</t>
        </is>
      </c>
      <c r="M49" s="31" t="n"/>
      <c r="N49" s="31" t="n"/>
      <c r="O49" s="31" t="n"/>
      <c r="P49" s="31" t="n"/>
      <c r="Q49" s="31" t="n"/>
      <c r="R49" s="31" t="n"/>
      <c r="S49" s="31" t="n"/>
      <c r="T49" s="31" t="n"/>
      <c r="U49" s="31" t="n"/>
      <c r="V49" s="31" t="n"/>
      <c r="W49" s="31" t="n"/>
      <c r="X49" s="31" t="n"/>
      <c r="Y49" s="31" t="n"/>
      <c r="Z49" s="31" t="n"/>
      <c r="AA49" s="31" t="n"/>
      <c r="AB49" s="31" t="n"/>
      <c r="AC49" s="31" t="n"/>
      <c r="AD49" s="31" t="n"/>
      <c r="AE49" s="31" t="n"/>
      <c r="AF49" s="31" t="n"/>
      <c r="AG49" s="31" t="n"/>
      <c r="AH49" s="31" t="n"/>
      <c r="AI49" s="31" t="n"/>
      <c r="AJ49" s="31" t="n"/>
      <c r="AK49" s="31" t="n"/>
    </row>
    <row r="50" ht="36.4" customHeight="1">
      <c r="B50" s="155" t="str">
        <f>B30</f>
        <v>T-14</v>
      </c>
      <c r="C50" s="156" t="str">
        <f>D30</f>
        <v>Retailer EDI and labelling set-up</v>
      </c>
      <c r="D50" s="31" t="n"/>
      <c r="E50" s="73" t="inlineStr">
        <is>
          <t>Create item records with each key retailer and test EDI messages (orders, ship notices and invoices) for the new SKUs.</t>
        </is>
      </c>
      <c r="F50" s="31" t="n"/>
      <c r="G50" s="31" t="n"/>
      <c r="H50" s="31" t="n"/>
      <c r="I50" s="31" t="n"/>
      <c r="J50" s="31" t="n"/>
      <c r="K50" s="157" t="n"/>
      <c r="L50" s="73" t="inlineStr">
        <is>
          <t>Successful test orders completed with at least five retailers; GS1 barcodes validated.</t>
        </is>
      </c>
      <c r="M50" s="31" t="n"/>
      <c r="N50" s="31" t="n"/>
      <c r="O50" s="31" t="n"/>
      <c r="P50" s="31" t="n"/>
      <c r="Q50" s="31" t="n"/>
      <c r="R50" s="31" t="n"/>
      <c r="S50" s="31" t="n"/>
      <c r="T50" s="31" t="n"/>
      <c r="U50" s="31" t="n"/>
      <c r="V50" s="31" t="n"/>
      <c r="W50" s="31" t="n"/>
      <c r="X50" s="31" t="n"/>
      <c r="Y50" s="31" t="n"/>
      <c r="Z50" s="31" t="n"/>
      <c r="AA50" s="31" t="n"/>
      <c r="AB50" s="31" t="n"/>
      <c r="AC50" s="31" t="n"/>
      <c r="AD50" s="31" t="n"/>
      <c r="AE50" s="31" t="n"/>
      <c r="AF50" s="31" t="n"/>
      <c r="AG50" s="31" t="n"/>
      <c r="AH50" s="31" t="n"/>
      <c r="AI50" s="31" t="n"/>
      <c r="AJ50" s="31" t="n"/>
      <c r="AK50" s="31" t="n"/>
    </row>
    <row r="51" ht="36.4" customHeight="1">
      <c r="B51" s="152" t="str">
        <f>B32</f>
        <v>T-15</v>
      </c>
      <c r="C51" s="153" t="str">
        <f>D32</f>
        <v>Launch readiness review (go/no-go)</v>
      </c>
      <c r="D51" s="31" t="n"/>
      <c r="E51" s="71" t="inlineStr">
        <is>
          <t>Cross-functional review of stock, content, compliance, marketing assets and channel readiness.</t>
        </is>
      </c>
      <c r="F51" s="31" t="n"/>
      <c r="G51" s="31" t="n"/>
      <c r="H51" s="31" t="n"/>
      <c r="I51" s="31" t="n"/>
      <c r="J51" s="31" t="n"/>
      <c r="K51" s="154" t="n"/>
      <c r="L51" s="71" t="inlineStr">
        <is>
          <t>Go decision recorded by the steering committee; every critical-path item closed or covered by an agreed mitigation.</t>
        </is>
      </c>
      <c r="M51" s="31" t="n"/>
      <c r="N51" s="31" t="n"/>
      <c r="O51" s="31" t="n"/>
      <c r="P51" s="31" t="n"/>
      <c r="Q51" s="31" t="n"/>
      <c r="R51" s="31" t="n"/>
      <c r="S51" s="31" t="n"/>
      <c r="T51" s="31" t="n"/>
      <c r="U51" s="31" t="n"/>
      <c r="V51" s="31" t="n"/>
      <c r="W51" s="31" t="n"/>
      <c r="X51" s="31" t="n"/>
      <c r="Y51" s="31" t="n"/>
      <c r="Z51" s="31" t="n"/>
      <c r="AA51" s="31" t="n"/>
      <c r="AB51" s="31" t="n"/>
      <c r="AC51" s="31" t="n"/>
      <c r="AD51" s="31" t="n"/>
      <c r="AE51" s="31" t="n"/>
      <c r="AF51" s="31" t="n"/>
      <c r="AG51" s="31" t="n"/>
      <c r="AH51" s="31" t="n"/>
      <c r="AI51" s="31" t="n"/>
      <c r="AJ51" s="31" t="n"/>
      <c r="AK51" s="31" t="n"/>
    </row>
  </sheetData>
  <mergeCells count="87">
    <mergeCell ref="AD8:AH8"/>
    <mergeCell ref="L48:AK48"/>
    <mergeCell ref="B14:B15"/>
    <mergeCell ref="AG14:AJ14"/>
    <mergeCell ref="AI7:AK7"/>
    <mergeCell ref="E46:J46"/>
    <mergeCell ref="L47:AK47"/>
    <mergeCell ref="C41:D41"/>
    <mergeCell ref="C50:D50"/>
    <mergeCell ref="L43:AK43"/>
    <mergeCell ref="C43:D43"/>
    <mergeCell ref="C36:D36"/>
    <mergeCell ref="E47:J47"/>
    <mergeCell ref="L50:AK50"/>
    <mergeCell ref="L14:O14"/>
    <mergeCell ref="AI9:AK9"/>
    <mergeCell ref="E51:J51"/>
    <mergeCell ref="C14:C15"/>
    <mergeCell ref="AD9:AH9"/>
    <mergeCell ref="E14:E15"/>
    <mergeCell ref="L36:AK36"/>
    <mergeCell ref="I6:J6"/>
    <mergeCell ref="T14:X14"/>
    <mergeCell ref="B6:H6"/>
    <mergeCell ref="C45:D45"/>
    <mergeCell ref="E49:J49"/>
    <mergeCell ref="C47:D47"/>
    <mergeCell ref="L37:AK37"/>
    <mergeCell ref="E36:J36"/>
    <mergeCell ref="I7:J7"/>
    <mergeCell ref="E45:J45"/>
    <mergeCell ref="AD10:AH10"/>
    <mergeCell ref="C40:D40"/>
    <mergeCell ref="X7:AC10"/>
    <mergeCell ref="E37:J37"/>
    <mergeCell ref="I8:J8"/>
    <mergeCell ref="AI8:AK8"/>
    <mergeCell ref="L51:AK51"/>
    <mergeCell ref="H14:H15"/>
    <mergeCell ref="J14:J15"/>
    <mergeCell ref="L41:AK41"/>
    <mergeCell ref="I10:J10"/>
    <mergeCell ref="AI10:AK10"/>
    <mergeCell ref="L6:V6"/>
    <mergeCell ref="B35:AK35"/>
    <mergeCell ref="E48:J48"/>
    <mergeCell ref="B7:H10"/>
    <mergeCell ref="E38:J38"/>
    <mergeCell ref="I9:J9"/>
    <mergeCell ref="L49:AK49"/>
    <mergeCell ref="E40:J40"/>
    <mergeCell ref="L7:V7"/>
    <mergeCell ref="C44:D44"/>
    <mergeCell ref="C46:D46"/>
    <mergeCell ref="L39:AK39"/>
    <mergeCell ref="L45:AK45"/>
    <mergeCell ref="C51:D51"/>
    <mergeCell ref="L10:V10"/>
    <mergeCell ref="E50:J50"/>
    <mergeCell ref="C48:D48"/>
    <mergeCell ref="L38:AK38"/>
    <mergeCell ref="D14:D15"/>
    <mergeCell ref="F14:F15"/>
    <mergeCell ref="L9:V9"/>
    <mergeCell ref="AC14:AF14"/>
    <mergeCell ref="B4:AK4"/>
    <mergeCell ref="C38:D38"/>
    <mergeCell ref="L44:AK44"/>
    <mergeCell ref="L40:AK40"/>
    <mergeCell ref="E39:J39"/>
    <mergeCell ref="C49:D49"/>
    <mergeCell ref="C42:D42"/>
    <mergeCell ref="P14:S14"/>
    <mergeCell ref="G14:G15"/>
    <mergeCell ref="L42:AK42"/>
    <mergeCell ref="I14:I15"/>
    <mergeCell ref="E41:J41"/>
    <mergeCell ref="L8:V8"/>
    <mergeCell ref="X6:AK6"/>
    <mergeCell ref="E43:J43"/>
    <mergeCell ref="C39:D39"/>
    <mergeCell ref="Y14:AB14"/>
    <mergeCell ref="E42:J42"/>
    <mergeCell ref="AD7:AH7"/>
    <mergeCell ref="C37:D37"/>
    <mergeCell ref="E44:J44"/>
    <mergeCell ref="L46:AK46"/>
  </mergeCells>
  <conditionalFormatting sqref="L16:AK33">
    <cfRule type="expression" priority="1" dxfId="14" stopIfTrue="1">
      <formula>AND(LEFT($B16,1)="T",L$15&lt;=$G16,L$15+6&gt;=$F16,$I16=$H$12)</formula>
    </cfRule>
    <cfRule type="expression" priority="2" dxfId="15" stopIfTrue="1">
      <formula>AND(LEFT($B16,1)="T",L$15&lt;=$G16,L$15+6&gt;=$F16,$I16=$G$12)</formula>
    </cfRule>
    <cfRule type="expression" priority="3" dxfId="16" stopIfTrue="1">
      <formula>AND(LEFT($B16,1)="T",L$15&lt;=$G16,L$15+6&gt;=$F16,$I16=$F$12)</formula>
    </cfRule>
    <cfRule type="expression" priority="4" dxfId="17" stopIfTrue="1">
      <formula>AND(LEFT($B16,1)="T",L$15&lt;=$G16,L$15+6&gt;=$F16,$I16=$E$12)</formula>
    </cfRule>
    <cfRule type="expression" priority="5" dxfId="18">
      <formula>AND(L$15&lt;=$L$10,L$15+6&gt;=$L$10)</formula>
    </cfRule>
  </conditionalFormatting>
  <conditionalFormatting sqref="L15:AK15">
    <cfRule type="expression" priority="6" dxfId="19">
      <formula>AND(L$15&lt;=$L$10,L$15+6&gt;=$L$10)</formula>
    </cfRule>
  </conditionalFormatting>
  <conditionalFormatting sqref="I16:I33">
    <cfRule type="expression" priority="7" dxfId="20" stopIfTrue="1">
      <formula>I16=$E$12</formula>
    </cfRule>
    <cfRule type="expression" priority="8" dxfId="6" stopIfTrue="1">
      <formula>I16=$F$12</formula>
    </cfRule>
    <cfRule type="expression" priority="9" dxfId="8" stopIfTrue="1">
      <formula>I16=$G$12</formula>
    </cfRule>
    <cfRule type="expression" priority="10" dxfId="5" stopIfTrue="1">
      <formula>I16=$H$12</formula>
    </cfRule>
  </conditionalFormatting>
  <conditionalFormatting sqref="G16:G33">
    <cfRule type="expression" priority="11" dxfId="1">
      <formula>AND(G16&lt;$L$10,I16&lt;&gt;$H$12)</formula>
    </cfRule>
  </conditionalFormatting>
  <conditionalFormatting sqref="J16:J33">
    <cfRule type="dataBar" priority="12">
      <dataBar>
        <cfvo type="num" val="0"/>
        <cfvo type="num" val="1"/>
        <color rgb="009DB8A8"/>
      </dataBar>
    </cfRule>
  </conditionalFormatting>
  <dataValidations count="2">
    <dataValidation sqref="I16:I33" showDropDown="0" showInputMessage="0" showErrorMessage="1" allowBlank="0" errorTitle="Invalid status" error="Select a status from the list." type="list">
      <formula1>=$E$12:$H$12</formula1>
    </dataValidation>
    <dataValidation sqref="J16:J33" showDropDown="0" showInputMessage="0" showErrorMessage="1" allowBlank="0" errorTitle="Invalid value" error="Enter a percentage between 0% and 100%." type="decimal" operator="between">
      <formula1>0</formula1>
      <formula2>1</formula2>
    </dataValidation>
  </dataValidations>
  <pageMargins left="0.4" right="0.4" top="0.5" bottom="0.5" header="0.5" footer="0.5"/>
  <pageSetup orientation="landscape" paperSize="9" fitToHeight="0" fitToWidth="1"/>
  <headerFooter>
    <oddHeader/>
    <oddFooter>&amp;L&amp;8 Linden &amp; Loom · Global Sales &amp; Operations Report FY2026&amp;R&amp;8 &amp;A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Linden &amp; Loom Commercial Finance</dc:creator>
  <dc:title xmlns:dc="http://purl.org/dc/elements/1.1/">Global Sales &amp; Operations Report FY2026</dc:title>
  <dc:subject xmlns:dc="http://purl.org/dc/elements/1.1/">January–September 2026 trading, markets, inventory and launch plan</dc:subject>
  <dcterms:created xmlns:dcterms="http://purl.org/dc/terms/" xmlns:xsi="http://www.w3.org/2001/XMLSchema-instance" xsi:type="dcterms:W3CDTF">2026-10-22T13:17:03Z</dcterms:created>
  <dcterms:modified xmlns:dcterms="http://purl.org/dc/terms/" xmlns:xsi="http://www.w3.org/2001/XMLSchema-instance" xsi:type="dcterms:W3CDTF">2026-10-22T13:17:04Z</dcterms:modified>
</cp:coreProperties>
</file>